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Inputs" sheetId="2" state="visible" r:id="rId4"/>
    <sheet name="Quantities" sheetId="3" state="visible" r:id="rId5"/>
    <sheet name="Budget_Compare" sheetId="4" state="visible" r:id="rId6"/>
    <sheet name="Economics" sheetId="5" state="visible" r:id="rId7"/>
    <sheet name="Soils_Grading" sheetId="6" state="visible" r:id="rId8"/>
    <sheet name="Validation_Checklist" sheetId="7" state="visible" r:id="rId9"/>
    <sheet name="Sources" sheetId="8" state="visible" r:id="rId10"/>
    <sheet name="Optimization_Levers" sheetId="9" state="visible" r:id="rId11"/>
    <sheet name="Land_Value" sheetId="10" state="visible" r:id="rId12"/>
  </sheets>
  <calcPr iterateCount="100" refMode="A1" iterate="false" iterateDelta="0.001"/>
  <extLst>
    <ext xmlns:loext="http://schemas.libreoffice.org/" uri="{7626C862-2A13-11E5-B345-FEFF819CDC9F}">
      <loext:extCalcPr stringRefSyntax="ExcelA1"/>
    </ext>
  </extLst>
</workbook>
</file>

<file path=xl/sharedStrings.xml><?xml version="1.0" encoding="utf-8"?>
<sst xmlns="http://schemas.openxmlformats.org/spreadsheetml/2006/main" count="730" uniqueCount="570">
  <si>
    <t xml:space="preserve">Winnie I-10 × SH-73 / SH-124 Wye — Truck Yard / IOS Validation Model</t>
  </si>
  <si>
    <t xml:space="preserve">Planning workbook: compares direct procurement vs. general-contractor retail delivery, with editable assumptions and validation budget.</t>
  </si>
  <si>
    <t xml:space="preserve">Metric</t>
  </si>
  <si>
    <t xml:space="preserve">Direct Procurement</t>
  </si>
  <si>
    <t xml:space="preserve">GC Retail</t>
  </si>
  <si>
    <t xml:space="preserve">Difference</t>
  </si>
  <si>
    <t xml:space="preserve">Direct Yield</t>
  </si>
  <si>
    <t xml:space="preserve">GC Yield</t>
  </si>
  <si>
    <t xml:space="preserve">Flag</t>
  </si>
  <si>
    <t xml:space="preserve">Notes</t>
  </si>
  <si>
    <t xml:space="preserve">Total Development Cost</t>
  </si>
  <si>
    <t xml:space="preserve">Direct cost = Budget_Compare yard + support/reserve land basis</t>
  </si>
  <si>
    <t xml:space="preserve">Costs are formula-driven from Budget_Compare.</t>
  </si>
  <si>
    <t xml:space="preserve">Base Annual NOI</t>
  </si>
  <si>
    <t xml:space="preserve">Base case: $14/night, 70% occupancy, 30% opex (rate band $12-$15).</t>
  </si>
  <si>
    <t xml:space="preserve">Max Cost at 12% NOI Floor</t>
  </si>
  <si>
    <t xml:space="preserve">NOI / 12% floor.</t>
  </si>
  <si>
    <t xml:space="preserve">Direct Gap / Cushion</t>
  </si>
  <si>
    <t xml:space="preserve">Positive means direct cost stays under 12% floor.</t>
  </si>
  <si>
    <t xml:space="preserve">GC Gap / Cushion</t>
  </si>
  <si>
    <t xml:space="preserve">Positive means GC cost stays under 12% floor.</t>
  </si>
  <si>
    <t xml:space="preserve">Model posture</t>
  </si>
  <si>
    <t xml:space="preserve">Known screen</t>
  </si>
  <si>
    <t xml:space="preserve">Representative example; the developer selects the actual site (broker presents available sites). I-10-edge flood screen returns Zone X; wet shrink-swell clay is the cost driver.</t>
  </si>
  <si>
    <t xml:space="preserve">Delivery split</t>
  </si>
  <si>
    <t xml:space="preserve">Retail GC pricing is modeled separately from direct procurement / CM-managed buying.</t>
  </si>
  <si>
    <t xml:space="preserve">Core cost driver</t>
  </si>
  <si>
    <t xml:space="preserve">Yard surface section, grading, drainage, entrance, fence, lighting, and security.</t>
  </si>
  <si>
    <t xml:space="preserve">Decision</t>
  </si>
  <si>
    <t xml:space="preserve">Validation capital before construction capital: geotech, civil ROM, rate comps, owner path.</t>
  </si>
  <si>
    <t xml:space="preserve">Exit economics (base $14/night)</t>
  </si>
  <si>
    <t xml:space="preserve">Low bulk</t>
  </si>
  <si>
    <t xml:space="preserve">Mid operator-pad</t>
  </si>
  <si>
    <t xml:space="preserve">High frontage</t>
  </si>
  <si>
    <t xml:space="preserve">Read</t>
  </si>
  <si>
    <t xml:space="preserve">Source</t>
  </si>
  <si>
    <t xml:space="preserve">Status</t>
  </si>
  <si>
    <t xml:space="preserve">Frontage out-parcel gain (5 ac)</t>
  </si>
  <si>
    <t xml:space="preserve">5-ac frontage sold separately; drainage folded into yard</t>
  </si>
  <si>
    <t xml:space="preserve">Land_Value</t>
  </si>
  <si>
    <t xml:space="preserve">Planning</t>
  </si>
  <si>
    <t xml:space="preserve">Uses current listing comps; not appraisal or closed sale</t>
  </si>
  <si>
    <t xml:space="preserve">Combined two-year gross gain (base)</t>
  </si>
  <si>
    <t xml:space="preserve">Yard income gain + frontage out-parcel, before carry</t>
  </si>
  <si>
    <t xml:space="preserve">Assumes full parcel acquisition and value credit</t>
  </si>
  <si>
    <t xml:space="preserve">Navigation</t>
  </si>
  <si>
    <t xml:space="preserve">Inputs</t>
  </si>
  <si>
    <t xml:space="preserve">Editable assumptions: parcel, geometry, rate, delivery, contingency.</t>
  </si>
  <si>
    <t xml:space="preserve">Quantities</t>
  </si>
  <si>
    <t xml:space="preserve">Area, surface volume, tonnage, fencing, stalls, and revenue math.</t>
  </si>
  <si>
    <t xml:space="preserve">Budget_Compare</t>
  </si>
  <si>
    <t xml:space="preserve">Line-item side-by-side: direct procurement vs. GC retail.</t>
  </si>
  <si>
    <t xml:space="preserve">Economics</t>
  </si>
  <si>
    <t xml:space="preserve">$12–$15/night rate cases (70% occ); NOI-to-cost test.</t>
  </si>
  <si>
    <t xml:space="preserve">Soils_Grading</t>
  </si>
  <si>
    <t xml:space="preserve">Plain-English soil interpretation and geotech questions.</t>
  </si>
  <si>
    <t xml:space="preserve">Validation_Checklist</t>
  </si>
  <si>
    <t xml:space="preserve">Institutional validation workstreams and status fields.</t>
  </si>
  <si>
    <t xml:space="preserve">Sources</t>
  </si>
  <si>
    <t xml:space="preserve">Source URLs and evidence notes.</t>
  </si>
  <si>
    <t xml:space="preserve">Optimization_Levers</t>
  </si>
  <si>
    <t xml:space="preserve">Illustrative savings levers to improve margin, reduce exposed capital, and protect the 12% return floor.</t>
  </si>
  <si>
    <t xml:space="preserve">Inputs — Winnie I-10 × SH-73 / SH-124 Wye Controlled Yard / IOS Validation</t>
  </si>
  <si>
    <t xml:space="preserve">Input</t>
  </si>
  <si>
    <t xml:space="preserve">Value</t>
  </si>
  <si>
    <t xml:space="preserve">Unit</t>
  </si>
  <si>
    <t xml:space="preserve">Source / notes</t>
  </si>
  <si>
    <t xml:space="preserve">Candidate parcel ID</t>
  </si>
  <si>
    <t xml:space="preserve">Representative example</t>
  </si>
  <si>
    <t xml:space="preserve">text</t>
  </si>
  <si>
    <t xml:space="preserve">Developer selects the actual site; broker presents available sites (iVerify parcel screen, Winnie wye)</t>
  </si>
  <si>
    <t xml:space="preserve">Parcel acres</t>
  </si>
  <si>
    <t xml:space="preserve">acres</t>
  </si>
  <si>
    <t xml:space="preserve">Representative ~20-ac example (mirrors validation example)</t>
  </si>
  <si>
    <t xml:space="preserve">Approx. parcel width</t>
  </si>
  <si>
    <t xml:space="preserve">ft</t>
  </si>
  <si>
    <t xml:space="preserve">Approx. parcel length</t>
  </si>
  <si>
    <t xml:space="preserve">Phase 1 developed area</t>
  </si>
  <si>
    <t xml:space="preserve">Developer concept sketch</t>
  </si>
  <si>
    <t xml:space="preserve">Reserve / future area</t>
  </si>
  <si>
    <t xml:space="preserve">Formula: parcel acres less Phase 1</t>
  </si>
  <si>
    <t xml:space="preserve">Approx. distance to interchange</t>
  </si>
  <si>
    <t xml:space="preserve">miles</t>
  </si>
  <si>
    <t xml:space="preserve">Mapped floodway</t>
  </si>
  <si>
    <t xml:space="preserve">%</t>
  </si>
  <si>
    <t xml:space="preserve">iVerify flood screen — sampled points return Zone X (FEMA minimal risk)</t>
  </si>
  <si>
    <t xml:space="preserve">Mapped AE / AH floodplain</t>
  </si>
  <si>
    <t xml:space="preserve">iVerify flood screen — outside AE/AH; Zone X at the I-10 edge</t>
  </si>
  <si>
    <t xml:space="preserve">Mapped hydric soil</t>
  </si>
  <si>
    <t xml:space="preserve">see Soils</t>
  </si>
  <si>
    <t xml:space="preserve">—</t>
  </si>
  <si>
    <t xml:space="preserve">Leton/Meaton units read wet; confirm wetland delineation (NRCS Web Soil Survey)</t>
  </si>
  <si>
    <t xml:space="preserve">Parcel relief</t>
  </si>
  <si>
    <t xml:space="preserve">minimal</t>
  </si>
  <si>
    <t xml:space="preserve">Flat coastal-prairie terrace; clay and water table drive civil, not cut/fill</t>
  </si>
  <si>
    <t xml:space="preserve">Target NOI-to-cost floor</t>
  </si>
  <si>
    <t xml:space="preserve">Opportunity brief return screen</t>
  </si>
  <si>
    <t xml:space="preserve">Base nightly space rate</t>
  </si>
  <si>
    <t xml:space="preserve">$/space/night</t>
  </si>
  <si>
    <t xml:space="preserve">Model assumption from opportunity brief</t>
  </si>
  <si>
    <t xml:space="preserve">Base occupancy</t>
  </si>
  <si>
    <t xml:space="preserve">Base operating expense ratio</t>
  </si>
  <si>
    <t xml:space="preserve">% of gross</t>
  </si>
  <si>
    <t xml:space="preserve">Illustrative spaces</t>
  </si>
  <si>
    <t xml:space="preserve">spaces</t>
  </si>
  <si>
    <t xml:space="preserve">Developer concept / site plan</t>
  </si>
  <si>
    <t xml:space="preserve">Land basis</t>
  </si>
  <si>
    <t xml:space="preserve">$/acre</t>
  </si>
  <si>
    <t xml:space="preserve">Winnie node basis ~$26,900/ac (iVerify parcel screen, 2025 CAD); replace with broker comps</t>
  </si>
  <si>
    <t xml:space="preserve">Aggregate depth - Lean</t>
  </si>
  <si>
    <t xml:space="preserve">inches</t>
  </si>
  <si>
    <t xml:space="preserve">Editable planning assumption</t>
  </si>
  <si>
    <t xml:space="preserve">Aggregate depth - Base</t>
  </si>
  <si>
    <t xml:space="preserve">Aggregate depth - Heavy</t>
  </si>
  <si>
    <t xml:space="preserve">Tons per cubic yard</t>
  </si>
  <si>
    <t xml:space="preserve">tons/CY</t>
  </si>
  <si>
    <t xml:space="preserve">Planning conversion; verify by material supplier</t>
  </si>
  <si>
    <t xml:space="preserve">Phase-only fence length</t>
  </si>
  <si>
    <t xml:space="preserve">LF</t>
  </si>
  <si>
    <t xml:space="preserve">Formula from parcel width and Phase 1 area</t>
  </si>
  <si>
    <t xml:space="preserve">Full parcel fence length</t>
  </si>
  <si>
    <t xml:space="preserve">Formula from parcel dimensions</t>
  </si>
  <si>
    <t xml:space="preserve">Direct procurement CM fee</t>
  </si>
  <si>
    <t xml:space="preserve">Planning assumption</t>
  </si>
  <si>
    <t xml:space="preserve">GC overhead/profit markup</t>
  </si>
  <si>
    <t xml:space="preserve">Direct contingency</t>
  </si>
  <si>
    <t xml:space="preserve">GC contingency</t>
  </si>
  <si>
    <t xml:space="preserve">Cap rate</t>
  </si>
  <si>
    <t xml:space="preserve">Conservative tertiary cap; the market sets the exit</t>
  </si>
  <si>
    <t xml:space="preserve">Disposition cost</t>
  </si>
  <si>
    <t xml:space="preserve">Model assumption</t>
  </si>
  <si>
    <t xml:space="preserve">Master Plan / Residual Land Inputs</t>
  </si>
  <si>
    <t xml:space="preserve">Frontage fuel/operator pad area</t>
  </si>
  <si>
    <t xml:space="preserve">Conceptual master plan; editable</t>
  </si>
  <si>
    <t xml:space="preserve">Controlled yard area</t>
  </si>
  <si>
    <t xml:space="preserve">Phase 1 validation case; editable</t>
  </si>
  <si>
    <t xml:space="preserve">Support / drainage / utility reserve</t>
  </si>
  <si>
    <t xml:space="preserve">Formula: parcel acres less frontage and yard</t>
  </si>
  <si>
    <t xml:space="preserve">Remainder after Phase 1 yard</t>
  </si>
  <si>
    <t xml:space="preserve">Formula: parcel acres less controlled yard area</t>
  </si>
  <si>
    <t xml:space="preserve">Residual land value sheet</t>
  </si>
  <si>
    <t xml:space="preserve">sheet</t>
  </si>
  <si>
    <t xml:space="preserve">Comps and value scenarios from the Winnie/Chambers County parcel screen (2025 CAD values)</t>
  </si>
  <si>
    <t xml:space="preserve">Quantities — Geometry, Surface, Revenue</t>
  </si>
  <si>
    <t xml:space="preserve">Lean</t>
  </si>
  <si>
    <t xml:space="preserve">Base</t>
  </si>
  <si>
    <t xml:space="preserve">Heavy</t>
  </si>
  <si>
    <t xml:space="preserve">Phase 1 area (acres)</t>
  </si>
  <si>
    <t xml:space="preserve">Developed yard area</t>
  </si>
  <si>
    <t xml:space="preserve">Phase 1 area (sf)</t>
  </si>
  <si>
    <t xml:space="preserve">Acres × 43,560</t>
  </si>
  <si>
    <t xml:space="preserve">Surface depth (in)</t>
  </si>
  <si>
    <t xml:space="preserve">Editable</t>
  </si>
  <si>
    <t xml:space="preserve">Surface volume (CY)</t>
  </si>
  <si>
    <t xml:space="preserve">Area × depth / 27</t>
  </si>
  <si>
    <t xml:space="preserve">Surface tonnage</t>
  </si>
  <si>
    <t xml:space="preserve">CY × tons/CY</t>
  </si>
  <si>
    <t xml:space="preserve">Phase-only fence (LF)</t>
  </si>
  <si>
    <t xml:space="preserve">For Phase 1 fence budget</t>
  </si>
  <si>
    <t xml:space="preserve">Full parcel fence (LF)</t>
  </si>
  <si>
    <t xml:space="preserve">For heavy/full perimeter case</t>
  </si>
  <si>
    <t xml:space="preserve">Space count</t>
  </si>
  <si>
    <t xml:space="preserve">Spaces per acre</t>
  </si>
  <si>
    <t xml:space="preserve">Sanity check</t>
  </si>
  <si>
    <t xml:space="preserve">Base gross revenue</t>
  </si>
  <si>
    <t xml:space="preserve">Spaces × nightly rate × 365 × occupancy</t>
  </si>
  <si>
    <t xml:space="preserve">Budget Compare — Direct Procurement vs. GC Retail</t>
  </si>
  <si>
    <t xml:space="preserve">Hardcoded unit prices are planning assumptions. Replace blue unit-price cells with local supplier, subcontractor, civil, and CM/GC quotes.</t>
  </si>
  <si>
    <t xml:space="preserve">Section</t>
  </si>
  <si>
    <t xml:space="preserve">Line item</t>
  </si>
  <si>
    <t xml:space="preserve">Basis</t>
  </si>
  <si>
    <t xml:space="preserve">Qty</t>
  </si>
  <si>
    <t xml:space="preserve">Direct Unit $</t>
  </si>
  <si>
    <t xml:space="preserve">Direct Cost</t>
  </si>
  <si>
    <t xml:space="preserve">GC Unit $</t>
  </si>
  <si>
    <t xml:space="preserve">GC Cost</t>
  </si>
  <si>
    <t xml:space="preserve">Notes / source</t>
  </si>
  <si>
    <t xml:space="preserve">Land / Site Control</t>
  </si>
  <si>
    <t xml:space="preserve">Phase 1 allocated land</t>
  </si>
  <si>
    <t xml:space="preserve">Phase 1 acres × land basis</t>
  </si>
  <si>
    <t xml:space="preserve">acre</t>
  </si>
  <si>
    <t xml:space="preserve">Uses Phase 1 land allocation; full parcel acquisition shown separately.</t>
  </si>
  <si>
    <t xml:space="preserve">Due diligence / option / legal</t>
  </si>
  <si>
    <t xml:space="preserve">LS</t>
  </si>
  <si>
    <t xml:space="preserve">Option, title, legal, broker review allowance.</t>
  </si>
  <si>
    <t xml:space="preserve">Full parcel reserve land (memo)</t>
  </si>
  <si>
    <t xml:space="preserve">Reserve acres × land basis</t>
  </si>
  <si>
    <t xml:space="preserve">Memo line: if buying all 19.94 acres, add reserve land separately.</t>
  </si>
  <si>
    <t xml:space="preserve">Due Diligence</t>
  </si>
  <si>
    <t xml:space="preserve">Survey / topo</t>
  </si>
  <si>
    <t xml:space="preserve">Need Texas (SE coastal) survey/topo quote.</t>
  </si>
  <si>
    <t xml:space="preserve">Geotech / test pits</t>
  </si>
  <si>
    <t xml:space="preserve">Compaction, PI, R-value/CBR, salts/sulfates if needed.</t>
  </si>
  <si>
    <t xml:space="preserve">Civil concept / drainage / permit support</t>
  </si>
  <si>
    <t xml:space="preserve">Civil ROM and preliminary design package.</t>
  </si>
  <si>
    <t xml:space="preserve">SWPPP / permit allowance</t>
  </si>
  <si>
    <t xml:space="preserve">TCEQ Construction General Permit / Chambers County process allowance.</t>
  </si>
  <si>
    <t xml:space="preserve">Sitework</t>
  </si>
  <si>
    <t xml:space="preserve">Clearing / grubbing</t>
  </si>
  <si>
    <t xml:space="preserve">Phase 1 acres</t>
  </si>
  <si>
    <t xml:space="preserve">Coastal-prairie clearing / site prep assumption.</t>
  </si>
  <si>
    <t xml:space="preserve">Rough grading / balance site</t>
  </si>
  <si>
    <t xml:space="preserve">Assumes cut/fill can largely balance on site.</t>
  </si>
  <si>
    <t xml:space="preserve">Fine grading / compaction</t>
  </si>
  <si>
    <t xml:space="preserve">Finish pad, compact subgrade.</t>
  </si>
  <si>
    <t xml:space="preserve">Soil stabilization allowance</t>
  </si>
  <si>
    <t xml:space="preserve">Cement/lime/geogrid only if geotech indicates.</t>
  </si>
  <si>
    <t xml:space="preserve">Surface</t>
  </si>
  <si>
    <t xml:space="preserve">Aggregate base / gravel material</t>
  </si>
  <si>
    <t xml:space="preserve">Base scenario tonnage</t>
  </si>
  <si>
    <t xml:space="preserve">ton</t>
  </si>
  <si>
    <t xml:space="preserve">Delivered material assumption; replace with supplier quote.</t>
  </si>
  <si>
    <t xml:space="preserve">Place / spread / compact base</t>
  </si>
  <si>
    <t xml:space="preserve">Equipment + labor placement.</t>
  </si>
  <si>
    <t xml:space="preserve">Geotextile / geogrid allowance</t>
  </si>
  <si>
    <t xml:space="preserve">Phase 1 sf</t>
  </si>
  <si>
    <t xml:space="preserve">sf</t>
  </si>
  <si>
    <t xml:space="preserve">Allowance; use only if subgrade requires.</t>
  </si>
  <si>
    <t xml:space="preserve">Dust control / millings top course</t>
  </si>
  <si>
    <t xml:space="preserve">Alternative to full asphalt; validate locally.</t>
  </si>
  <si>
    <t xml:space="preserve">Drainage</t>
  </si>
  <si>
    <t xml:space="preserve">Detention / drainage area</t>
  </si>
  <si>
    <t xml:space="preserve">Basins, swales, culverts, erosion control allowance.</t>
  </si>
  <si>
    <t xml:space="preserve">Access</t>
  </si>
  <si>
    <t xml:space="preserve">Entrance throat / apron / gate drive</t>
  </si>
  <si>
    <t xml:space="preserve">Widened throat / heavy section at entry.</t>
  </si>
  <si>
    <t xml:space="preserve">Security</t>
  </si>
  <si>
    <t xml:space="preserve">Perimeter fence - Phase 1</t>
  </si>
  <si>
    <t xml:space="preserve">Phase-only LF</t>
  </si>
  <si>
    <t xml:space="preserve">Wire/chain-link/barbed-wire style TBD.</t>
  </si>
  <si>
    <t xml:space="preserve">Card-operated gate</t>
  </si>
  <si>
    <t xml:space="preserve">Access control, keypad/card, barrier, integration.</t>
  </si>
  <si>
    <t xml:space="preserve">Cameras / network</t>
  </si>
  <si>
    <t xml:space="preserve">Cameras, recorder/cloud, poles, network.</t>
  </si>
  <si>
    <t xml:space="preserve">Lighting</t>
  </si>
  <si>
    <t xml:space="preserve">LED light poles</t>
  </si>
  <si>
    <t xml:space="preserve">Poles</t>
  </si>
  <si>
    <t xml:space="preserve">each</t>
  </si>
  <si>
    <t xml:space="preserve">Fixture, pole, foundation, install allowance.</t>
  </si>
  <si>
    <t xml:space="preserve">Power</t>
  </si>
  <si>
    <t xml:space="preserve">Generator / backup power</t>
  </si>
  <si>
    <t xml:space="preserve">Initial generator allowance; size TBD.</t>
  </si>
  <si>
    <t xml:space="preserve">Electrical distribution</t>
  </si>
  <si>
    <t xml:space="preserve">Trenching, conduit, panels, lighting circuits.</t>
  </si>
  <si>
    <t xml:space="preserve">Amenities</t>
  </si>
  <si>
    <t xml:space="preserve">Gatehouse / office kiosk</t>
  </si>
  <si>
    <t xml:space="preserve">Small office/gatehouse or containerized unit.</t>
  </si>
  <si>
    <t xml:space="preserve">Executive bathroom / restroom unit</t>
  </si>
  <si>
    <t xml:space="preserve">Containerized restroom / executive bathroom allowance.</t>
  </si>
  <si>
    <t xml:space="preserve">Water tank / basic plumbing</t>
  </si>
  <si>
    <t xml:space="preserve">If no immediate utility connection.</t>
  </si>
  <si>
    <t xml:space="preserve">Pump-out / sewer service setup</t>
  </si>
  <si>
    <t xml:space="preserve">Holding tank / service setup; not monthly operating cost.</t>
  </si>
  <si>
    <t xml:space="preserve">Site Finish</t>
  </si>
  <si>
    <t xml:space="preserve">Striping / signs / wheel stops</t>
  </si>
  <si>
    <t xml:space="preserve">Wayfinding, striping, signage, safety markings.</t>
  </si>
  <si>
    <t xml:space="preserve">Subtotal - hard &amp; soft line items</t>
  </si>
  <si>
    <t xml:space="preserve">Direct CM / procurement manager fee</t>
  </si>
  <si>
    <t xml:space="preserve">GC overhead / profit</t>
  </si>
  <si>
    <t xml:space="preserve">Contingency</t>
  </si>
  <si>
    <t xml:space="preserve">Economics — $12–$15 / Night Yard Case (70% occupancy)</t>
  </si>
  <si>
    <t xml:space="preserve">$12/night</t>
  </si>
  <si>
    <t xml:space="preserve">$14/night</t>
  </si>
  <si>
    <t xml:space="preserve">$15/night</t>
  </si>
  <si>
    <t xml:space="preserve">Direct Budget</t>
  </si>
  <si>
    <t xml:space="preserve">GC Budget</t>
  </si>
  <si>
    <t xml:space="preserve">Spaces</t>
  </si>
  <si>
    <t xml:space="preserve">Nightly rate</t>
  </si>
  <si>
    <t xml:space="preserve">Occupancy</t>
  </si>
  <si>
    <t xml:space="preserve">Gross revenue</t>
  </si>
  <si>
    <t xml:space="preserve">Expense ratio</t>
  </si>
  <si>
    <t xml:space="preserve">Operating expenses</t>
  </si>
  <si>
    <t xml:space="preserve">Annual NOI</t>
  </si>
  <si>
    <t xml:space="preserve">NOI-to-cost floor</t>
  </si>
  <si>
    <t xml:space="preserve">Max cost at floor</t>
  </si>
  <si>
    <t xml:space="preserve">Total development cost</t>
  </si>
  <si>
    <t xml:space="preserve">NOI yield on cost</t>
  </si>
  <si>
    <t xml:space="preserve">Pass 12% floor?</t>
  </si>
  <si>
    <t xml:space="preserve">Net sale value @ 9% cap less 4%</t>
  </si>
  <si>
    <t xml:space="preserve">Gross gain / (gap)</t>
  </si>
  <si>
    <t xml:space="preserve">Gross gain %</t>
  </si>
  <si>
    <t xml:space="preserve">Read of model</t>
  </si>
  <si>
    <t xml:space="preserve">Direct procurement</t>
  </si>
  <si>
    <t xml:space="preserve">Uses direct purchasing, procurement manager/CM fee, and supplier/subcontractor pricing. Can preserve economics if sitework stays controlled.</t>
  </si>
  <si>
    <t xml:space="preserve">GC retail</t>
  </si>
  <si>
    <t xml:space="preserve">Uses higher unit pricing plus GC markup and contingency. Useful as a stress/reference case, not necessarily the preferred delivery path.</t>
  </si>
  <si>
    <t xml:space="preserve">Primary risk</t>
  </si>
  <si>
    <t xml:space="preserve">The main budget variable is surface section and grading. Geotech and civil ROM will decide whether stabilization/geogrid/asphalt quantities are needed.</t>
  </si>
  <si>
    <t xml:space="preserve">Use flexibility</t>
  </si>
  <si>
    <t xml:space="preserve">A truck yard is the first case. Fuel, operator pad, IOS, and hybrid configurations would carry different cost and revenue lines.</t>
  </si>
  <si>
    <t xml:space="preserve">Residual / frontage economics — see Land_Value sheet (clean structure: yard incl. support land + 5-ac frontage).</t>
  </si>
  <si>
    <t xml:space="preserve">Winnie parcel screen</t>
  </si>
  <si>
    <t xml:space="preserve">Soils / Grading — Preliminary Developer Interpretation</t>
  </si>
  <si>
    <t xml:space="preserve">Soil / item</t>
  </si>
  <si>
    <t xml:space="preserve">Parcel share / fact</t>
  </si>
  <si>
    <t xml:space="preserve">Plain-English read</t>
  </si>
  <si>
    <t xml:space="preserve">Budget implication</t>
  </si>
  <si>
    <t xml:space="preserve">Validation test</t>
  </si>
  <si>
    <t xml:space="preserve">Source URL</t>
  </si>
  <si>
    <t xml:space="preserve">Anahuac</t>
  </si>
  <si>
    <t xml:space="preserve">buildable unit</t>
  </si>
  <si>
    <t xml:space="preserve">Shrink-swell clay; the more buildable unit on the AOI, but still high-plasticity.</t>
  </si>
  <si>
    <t xml:space="preserve">Heavier pavement section and added foundation work — not a simple grading fix.</t>
  </si>
  <si>
    <t xml:space="preserve">Confirm PI, swell potential, R-value/CBR, lime/cement stabilization need.</t>
  </si>
  <si>
    <t xml:space="preserve">NRCS Web Soil Survey — https://websoilsurvey.nrcs.usda.gov/</t>
  </si>
  <si>
    <t xml:space="preserve">Leton / Meaton</t>
  </si>
  <si>
    <t xml:space="preserve">wet units</t>
  </si>
  <si>
    <t xml:space="preserve">Slow-draining clay over a shallow water table; reads wet and trends toward wetland ground.</t>
  </si>
  <si>
    <t xml:space="preserve">Drives on-site detention and can constrain usable area; wetland delineation may apply.</t>
  </si>
  <si>
    <t xml:space="preserve">Wetland delineation; geotech for water table, swell, and bearing.</t>
  </si>
  <si>
    <t xml:space="preserve">Likely-wetland ground</t>
  </si>
  <si>
    <t xml:space="preserve">present</t>
  </si>
  <si>
    <t xml:space="preserve">Wet soil units mapped on parts of the AOI — a real screen item, not a clean pass.</t>
  </si>
  <si>
    <t xml:space="preserve">Detention and possible avoidance/permitting; reduces usable yard where present.</t>
  </si>
  <si>
    <t xml:space="preserve">Field delineation; USACE / TCEQ as applicable.</t>
  </si>
  <si>
    <t xml:space="preserve">iVerify soil screen / NRCS Web Soil Survey</t>
  </si>
  <si>
    <t xml:space="preserve">Flood (I-10 edge sample)</t>
  </si>
  <si>
    <t xml:space="preserve">Zone X</t>
  </si>
  <si>
    <t xml:space="preserve">Every point sampled inside the boundary returns Zone X — FEMA minimal-risk, outside the mandatory-insurance zone.</t>
  </si>
  <si>
    <t xml:space="preserve">Low flood-insurance exposure at the edge; keep detention sized for slow-draining clay.</t>
  </si>
  <si>
    <t xml:space="preserve">Confirm FEMA panel and drainage report at the selected parcel.</t>
  </si>
  <si>
    <t xml:space="preserve">iVerify flood screen</t>
  </si>
  <si>
    <t xml:space="preserve">Relief / grading</t>
  </si>
  <si>
    <t xml:space="preserve">minimal (flat)</t>
  </si>
  <si>
    <t xml:space="preserve">Flat coastal-prairie terrace; cut/fill is not the driver here — water and clay are.</t>
  </si>
  <si>
    <t xml:space="preserve">Grading is minor; detention and surface section carry the cost.</t>
  </si>
  <si>
    <t xml:space="preserve">Topo at the parcel; confirm drainage outfall.</t>
  </si>
  <si>
    <t xml:space="preserve">iVerify topo screen</t>
  </si>
  <si>
    <t xml:space="preserve">Gulf Coast clay grading</t>
  </si>
  <si>
    <t xml:space="preserve">Developer read</t>
  </si>
  <si>
    <t xml:space="preserve">High-plasticity clay over a shallow water table; a classic SE Texas coastal-prairie civil profile.</t>
  </si>
  <si>
    <t xml:space="preserve">Budget carries detention, heavier section, stabilization, and foundation allowances.</t>
  </si>
  <si>
    <t xml:space="preserve">Test pits/borings and a geotech report before final budget.</t>
  </si>
  <si>
    <t xml:space="preserve">Developer assumption</t>
  </si>
  <si>
    <t xml:space="preserve">Validation Checklist — Winnie I-10 × SH-73 Institutional Package</t>
  </si>
  <si>
    <t xml:space="preserve">Workstream</t>
  </si>
  <si>
    <t xml:space="preserve">Question</t>
  </si>
  <si>
    <t xml:space="preserve">Current read</t>
  </si>
  <si>
    <t xml:space="preserve">Evidence now</t>
  </si>
  <si>
    <t xml:space="preserve">Next artifact</t>
  </si>
  <si>
    <t xml:space="preserve">Budget line</t>
  </si>
  <si>
    <t xml:space="preserve">Owner</t>
  </si>
  <si>
    <t xml:space="preserve">Development thesis</t>
  </si>
  <si>
    <t xml:space="preserve">Is the I-10 × SH-73 / SH-124 wye already a truck-service / overnight-stop node?</t>
  </si>
  <si>
    <t xml:space="preserve">Strong preliminary read</t>
  </si>
  <si>
    <t xml:space="preserve">Bingo Travel Plaza &amp; JP Truck Stop at the wye; Love's ~15 mi west; SH-73 Port Arthur/Beaumont corridor</t>
  </si>
  <si>
    <t xml:space="preserve">Microsite front page</t>
  </si>
  <si>
    <t xml:space="preserve">Internal</t>
  </si>
  <si>
    <t xml:space="preserve">Michael / NSG</t>
  </si>
  <si>
    <t xml:space="preserve">In progress</t>
  </si>
  <si>
    <t xml:space="preserve">Parcel geometry</t>
  </si>
  <si>
    <t xml:space="preserve">Can a 10-acre yard fit on the 19.94-acre parcel?</t>
  </si>
  <si>
    <t xml:space="preserve">Yes, conceptually</t>
  </si>
  <si>
    <t xml:space="preserve">540' × 1,722' parcel; 10 acres uses ~807 LF at 540' width</t>
  </si>
  <si>
    <t xml:space="preserve">Site plan</t>
  </si>
  <si>
    <t xml:space="preserve">NSG / civil</t>
  </si>
  <si>
    <t xml:space="preserve">Draft</t>
  </si>
  <si>
    <t xml:space="preserve">Soils</t>
  </si>
  <si>
    <t xml:space="preserve">Can the Anahuac / Leton / Meaton clays support an economical yard section?</t>
  </si>
  <si>
    <t xml:space="preserve">Needs geotech — clay over a shallow water table</t>
  </si>
  <si>
    <t xml:space="preserve">NRCS Web Soil Survey; wet clay + shallow water table flagged</t>
  </si>
  <si>
    <t xml:space="preserve">Geotech memo</t>
  </si>
  <si>
    <t xml:space="preserve">Geotech</t>
  </si>
  <si>
    <t xml:space="preserve">Geotech firm</t>
  </si>
  <si>
    <t xml:space="preserve">Open</t>
  </si>
  <si>
    <t xml:space="preserve">Grading</t>
  </si>
  <si>
    <t xml:space="preserve">Can detention and the surface section be sized for slow-draining clay?</t>
  </si>
  <si>
    <t xml:space="preserve">Reasonable to test</t>
  </si>
  <si>
    <t xml:space="preserve">Flat coastal terrace; clay and water table, not cut/fill</t>
  </si>
  <si>
    <t xml:space="preserve">Rough grading model</t>
  </si>
  <si>
    <t xml:space="preserve">Civil ROM</t>
  </si>
  <si>
    <t xml:space="preserve">Civil/earthwork</t>
  </si>
  <si>
    <t xml:space="preserve">Surface section</t>
  </si>
  <si>
    <t xml:space="preserve">What base/top course is enough for trucks?</t>
  </si>
  <si>
    <t xml:space="preserve">Unknown; budget has lean/base/heavy paths</t>
  </si>
  <si>
    <t xml:space="preserve">Base tonnage calculation</t>
  </si>
  <si>
    <t xml:space="preserve">Surface-section memo</t>
  </si>
  <si>
    <t xml:space="preserve">Aggregate/base</t>
  </si>
  <si>
    <t xml:space="preserve">Civil/contractor</t>
  </si>
  <si>
    <t xml:space="preserve">Access / entrance</t>
  </si>
  <si>
    <t xml:space="preserve">What throat/permit improvements are needed?</t>
  </si>
  <si>
    <t xml:space="preserve">Normal permit/layout item</t>
  </si>
  <si>
    <t xml:space="preserve">Interchange context + visible road network</t>
  </si>
  <si>
    <t xml:space="preserve">Access sketch / jurisdiction confirmation</t>
  </si>
  <si>
    <t xml:space="preserve">Entrance/apron</t>
  </si>
  <si>
    <t xml:space="preserve">Civil/County</t>
  </si>
  <si>
    <t xml:space="preserve">Zoning / permits</t>
  </si>
  <si>
    <t xml:space="preserve">Is truck parking / IOS allowed and what review is required?</t>
  </si>
  <si>
    <t xml:space="preserve">Needs confirmation</t>
  </si>
  <si>
    <t xml:space="preserve">Chambers County / TxDOT site plan + driveway guidance</t>
  </si>
  <si>
    <t xml:space="preserve">Planning confirmation email</t>
  </si>
  <si>
    <t xml:space="preserve">Civil/permitting</t>
  </si>
  <si>
    <t xml:space="preserve">Broker/NSG</t>
  </si>
  <si>
    <t xml:space="preserve">Rate / demand</t>
  </si>
  <si>
    <t xml:space="preserve">Can $12-$15/night cases be supported by local demand?</t>
  </si>
  <si>
    <t xml:space="preserve">Needs calls/comps</t>
  </si>
  <si>
    <t xml:space="preserve">Carrier base, TxDOT 2024 SE Texas Truck Parking Action Plan, corridor stops</t>
  </si>
  <si>
    <t xml:space="preserve">Rate comp table + call notes</t>
  </si>
  <si>
    <t xml:space="preserve">Owner path</t>
  </si>
  <si>
    <t xml:space="preserve">Can site be optioned or controlled without heavy capital?</t>
  </si>
  <si>
    <t xml:space="preserve">Needs contact</t>
  </si>
  <si>
    <t xml:space="preserve">Owners identified in the iVerify parcel screen (2025 CAD)</t>
  </si>
  <si>
    <t xml:space="preserve">Owner path memo</t>
  </si>
  <si>
    <t xml:space="preserve">Site control</t>
  </si>
  <si>
    <t xml:space="preserve">Broker</t>
  </si>
  <si>
    <t xml:space="preserve">Delivery</t>
  </si>
  <si>
    <t xml:space="preserve">Direct procurement vs. GC retail?</t>
  </si>
  <si>
    <t xml:space="preserve">Direct route may preserve economics</t>
  </si>
  <si>
    <t xml:space="preserve">Budget_Compare workbook</t>
  </si>
  <si>
    <t xml:space="preserve">Supplier quote table</t>
  </si>
  <si>
    <t xml:space="preserve">Budget</t>
  </si>
  <si>
    <t xml:space="preserve">NSG/CM</t>
  </si>
  <si>
    <t xml:space="preserve">Sources and Evidence</t>
  </si>
  <si>
    <t xml:space="preserve">Use in workbook</t>
  </si>
  <si>
    <t xml:space="preserve">URL / location</t>
  </si>
  <si>
    <t xml:space="preserve">iVerify Report (Winnie wye)</t>
  </si>
  <si>
    <t xml:space="preserve">Traffic, parcels, flood, soils, topography, carrier base, truck parking, broker tools</t>
  </si>
  <si>
    <t xml:space="preserve">https://iverify.nsgia.com/site-report?id=7</t>
  </si>
  <si>
    <t xml:space="preserve">Uploaded / cited in chat</t>
  </si>
  <si>
    <t xml:space="preserve">Full report supports the corridor and parcel screen.</t>
  </si>
  <si>
    <t xml:space="preserve">Winnie corridor screen (deal page)</t>
  </si>
  <si>
    <t xml:space="preserve">12% NOI-to-cost floor, base economics, validation path</t>
  </si>
  <si>
    <t xml:space="preserve">https://winnie.nsgia.com/</t>
  </si>
  <si>
    <t xml:space="preserve">Deal page; base economics and validation posture.</t>
  </si>
  <si>
    <t xml:space="preserve">Chambers County / Texas permitting</t>
  </si>
  <si>
    <t xml:space="preserve">Permit/site plan and required submittals</t>
  </si>
  <si>
    <t xml:space="preserve">https://www.co.chambers.tx.us/</t>
  </si>
  <si>
    <t xml:space="preserve">Official</t>
  </si>
  <si>
    <t xml:space="preserve">Commercial site plan, SWPPP, drainage, access/driveway, ROW/encroachment may apply.</t>
  </si>
  <si>
    <t xml:space="preserve">TCEQ Construction General Permit (TXR150000)</t>
  </si>
  <si>
    <t xml:space="preserve">Stormwater permitting / SWPPP trigger</t>
  </si>
  <si>
    <t xml:space="preserve">https://www.tceq.texas.gov/permitting/stormwater/construction</t>
  </si>
  <si>
    <t xml:space="preserve">Construction disturbing 1+ acres may require CGP coverage if discharge criteria apply.</t>
  </si>
  <si>
    <t xml:space="preserve">TxDOT bid tabulations / SE Texas Truck Parking Action Plan</t>
  </si>
  <si>
    <t xml:space="preserve">Public benchmark for unit pricing</t>
  </si>
  <si>
    <t xml:space="preserve">https://www.txdot.gov/</t>
  </si>
  <si>
    <t xml:space="preserve">Public unit-price benchmark and truck-parking supply context; not a substitute for local quotes.</t>
  </si>
  <si>
    <t xml:space="preserve">NRCS Web Soil Survey (Winnie AOI)</t>
  </si>
  <si>
    <t xml:space="preserve">Soil interpretation</t>
  </si>
  <si>
    <t xml:space="preserve">https://websoilsurvey.nrcs.usda.gov/</t>
  </si>
  <si>
    <t xml:space="preserve">Wet shrink-swell clay; Anahuac buildable, Leton/Meaton read wet.</t>
  </si>
  <si>
    <t xml:space="preserve">FHWA Jason's Law truck-parking survey</t>
  </si>
  <si>
    <t xml:space="preserve">Truck-parking supply</t>
  </si>
  <si>
    <t xml:space="preserve">https://ops.fhwa.dot.gov/freight/infrastructure/truck_parking/</t>
  </si>
  <si>
    <t xml:space="preserve">Parking-supply context for the SE Texas corridor.</t>
  </si>
  <si>
    <t xml:space="preserve">Land Comp / Market Source</t>
  </si>
  <si>
    <t xml:space="preserve">Source type</t>
  </si>
  <si>
    <t xml:space="preserve">What it supports</t>
  </si>
  <si>
    <t xml:space="preserve">URL</t>
  </si>
  <si>
    <t xml:space="preserve">iVerify parcel screen — Chambers &amp; Jefferson counties</t>
  </si>
  <si>
    <t xml:space="preserve">Parcel screen</t>
  </si>
  <si>
    <t xml:space="preserve">1,278 parcels across Chambers &amp; Jefferson; 80 tracts at 10+ ac (~2,001 ac)</t>
  </si>
  <si>
    <t xml:space="preserve">Screen evidence; 2025 CAD values, not closed sales.</t>
  </si>
  <si>
    <t xml:space="preserve">Brown — 44139 I-10 (2 parcels)</t>
  </si>
  <si>
    <t xml:space="preserve">Parcel-screen tract</t>
  </si>
  <si>
    <t xml:space="preserve">~40 ac; 2025 CAD $271,370 + $90,000 — cleanest private assembly</t>
  </si>
  <si>
    <t xml:space="preserve">iVerify parcel screen (2025 CAD)</t>
  </si>
  <si>
    <t xml:space="preserve">CAD value; not asking or closed sale.</t>
  </si>
  <si>
    <t xml:space="preserve">Thurmon — 44235 I-10 (2 parcels)</t>
  </si>
  <si>
    <t xml:space="preserve">~39 ac; 2025 CAD $419,740 + $93,650</t>
  </si>
  <si>
    <t xml:space="preserve">Beaumont IOS comp (down-corridor)</t>
  </si>
  <si>
    <t xml:space="preserve">Priced product reference</t>
  </si>
  <si>
    <t xml:space="preserve">Secured industrial-outdoor-storage property listed at an ~8% cap, 25–40 mi east</t>
  </si>
  <si>
    <t xml:space="preserve">Down-corridor priced product; basis at the wye is lower.</t>
  </si>
  <si>
    <t xml:space="preserve">Residual land value logic</t>
  </si>
  <si>
    <t xml:space="preserve">Model note</t>
  </si>
  <si>
    <t xml:space="preserve">Remainder value scenario in Land_Value sheet</t>
  </si>
  <si>
    <t xml:space="preserve">Internal model</t>
  </si>
  <si>
    <t xml:space="preserve">Broker opinion and appraisal still required.</t>
  </si>
  <si>
    <t xml:space="preserve">Optimization Levers — Bring Cost Back Toward Return Screen</t>
  </si>
  <si>
    <t xml:space="preserve">Lever</t>
  </si>
  <si>
    <t xml:space="preserve">Current direct cost</t>
  </si>
  <si>
    <t xml:space="preserve">Possible revised cost</t>
  </si>
  <si>
    <t xml:space="preserve">Potential savings</t>
  </si>
  <si>
    <t xml:space="preserve">Surface depth reduction if geotech permits</t>
  </si>
  <si>
    <t xml:space="preserve">Aggregate + placement</t>
  </si>
  <si>
    <t xml:space="preserve">Compares base 8-inch section to leaner 6-inch section with lower unit assumptions.</t>
  </si>
  <si>
    <t xml:space="preserve">Use geotextile only where needed</t>
  </si>
  <si>
    <t xml:space="preserve">Geotextile / geogrid</t>
  </si>
  <si>
    <t xml:space="preserve">Spot treatment instead of full Phase 1 coverage.</t>
  </si>
  <si>
    <t xml:space="preserve">Defer millings / top course</t>
  </si>
  <si>
    <t xml:space="preserve">Dust control / millings</t>
  </si>
  <si>
    <t xml:space="preserve">Start with aggregate/dust control and add top course after operations prove demand.</t>
  </si>
  <si>
    <t xml:space="preserve">Lease/portable restroom instead of executive build-out</t>
  </si>
  <si>
    <t xml:space="preserve">Executive bathroom + pump setup</t>
  </si>
  <si>
    <t xml:space="preserve">Use service contract/portable executive unit while validating demand.</t>
  </si>
  <si>
    <t xml:space="preserve">Lease generator / smaller initial power package</t>
  </si>
  <si>
    <t xml:space="preserve">Generator + electrical</t>
  </si>
  <si>
    <t xml:space="preserve">Scale power to lighting/gate/cameras first.</t>
  </si>
  <si>
    <t xml:space="preserve">Gatehouse as kiosk/container deferment</t>
  </si>
  <si>
    <t xml:space="preserve">Use card gate + cameras; add office later.</t>
  </si>
  <si>
    <t xml:space="preserve">Land option instead of Phase 1 land purchase</t>
  </si>
  <si>
    <t xml:space="preserve">Land allocation</t>
  </si>
  <si>
    <t xml:space="preserve">Option/ground lease/takedown could reduce first capital exposure.</t>
  </si>
  <si>
    <t xml:space="preserve">Reduce initial contingency after quotes</t>
  </si>
  <si>
    <t xml:space="preserve">Contingency can tighten after quotes and civil ROM.</t>
  </si>
  <si>
    <t xml:space="preserve">Total potential savings</t>
  </si>
  <si>
    <t xml:space="preserve">Illustrative only; not all levers can necessarily be combined.</t>
  </si>
  <si>
    <t xml:space="preserve">Current direct TDC</t>
  </si>
  <si>
    <t xml:space="preserve">Optimized direct TDC</t>
  </si>
  <si>
    <t xml:space="preserve">Base NOI</t>
  </si>
  <si>
    <t xml:space="preserve">Optimized yield</t>
  </si>
  <si>
    <t xml:space="preserve">Target floor</t>
  </si>
  <si>
    <t xml:space="preserve">Pass?</t>
  </si>
  <si>
    <t xml:space="preserve">Land Value / Remainder Optionality — Winnie I-10 × SH-73 / SH-124 Wye</t>
  </si>
  <si>
    <t xml:space="preserve">Purpose: estimate the value of the frontage/operator pad and remaining non-yard acreage. CAD values are tax-assessed (ownership/scale evidence), not market price; the node basis and frontage cases are planning inputs to validate with broker comps.</t>
  </si>
  <si>
    <t xml:space="preserve">Source / property</t>
  </si>
  <si>
    <t xml:space="preserve">Location</t>
  </si>
  <si>
    <t xml:space="preserve">Acres</t>
  </si>
  <si>
    <t xml:space="preserve">Ask price</t>
  </si>
  <si>
    <t xml:space="preserve">Use / zoning notes</t>
  </si>
  <si>
    <t xml:space="preserve">Interpretation</t>
  </si>
  <si>
    <t xml:space="preserve">Winnie, TX (Chambers Co.)</t>
  </si>
  <si>
    <t xml:space="preserve">Private assembly near the interchange; unincorporated, uses to confirm</t>
  </si>
  <si>
    <t xml:space="preserve">Cleanest private assembly (2025 CAD)</t>
  </si>
  <si>
    <t xml:space="preserve">iVerify parcel screen — 2025 CAD ($271,370 + $90,000)</t>
  </si>
  <si>
    <t xml:space="preserve">Private assembly (2025 CAD)</t>
  </si>
  <si>
    <t xml:space="preserve">iVerify parcel screen — 2025 CAD ($419,740 + $93,650)</t>
  </si>
  <si>
    <t xml:space="preserve">Beaumont IOS (down-corridor)</t>
  </si>
  <si>
    <t xml:space="preserve">Beaumont, TX</t>
  </si>
  <si>
    <t xml:space="preserve">Secured industrial outdoor storage</t>
  </si>
  <si>
    <t xml:space="preserve">Priced product reference, 25–40 mi east (~8% cap)</t>
  </si>
  <si>
    <t xml:space="preserve">Node basis (planning)</t>
  </si>
  <si>
    <t xml:space="preserve">Winnie wye</t>
  </si>
  <si>
    <t xml:space="preserve">Bulk land at the node</t>
  </si>
  <si>
    <t xml:space="preserve">Planning basis — used as the low-bulk scenario input</t>
  </si>
  <si>
    <t xml:space="preserve">iVerify parcel screen / planning</t>
  </si>
  <si>
    <t xml:space="preserve">Benchmark Inputs / Scenario Pricing</t>
  </si>
  <si>
    <t xml:space="preserve">Scenario</t>
  </si>
  <si>
    <t xml:space="preserve">Low bulk interchange land</t>
  </si>
  <si>
    <t xml:space="preserve">Winnie node basis (iVerify parcel screen / planning)</t>
  </si>
  <si>
    <t xml:space="preserve">Planning basis for bulk land at the node; replace with broker comps.</t>
  </si>
  <si>
    <t xml:space="preserve">Mid operator-pad case</t>
  </si>
  <si>
    <t xml:space="preserve">Developer judgment between bulk land and utility-ready 4.1 ac comp</t>
  </si>
  <si>
    <t xml:space="preserve">Planning placeholder; replace with broker opinion.</t>
  </si>
  <si>
    <t xml:space="preserve">High utility/frontage case</t>
  </si>
  <si>
    <t xml:space="preserve">High frontage/utility planning case (Winnie wye)</t>
  </si>
  <si>
    <t xml:space="preserve">High frontage/utility case; planning — replace with broker comp.</t>
  </si>
  <si>
    <t xml:space="preserve">Master Plan Acreage and Optionality</t>
  </si>
  <si>
    <t xml:space="preserve">Area</t>
  </si>
  <si>
    <t xml:space="preserve">Low value</t>
  </si>
  <si>
    <t xml:space="preserve">Mid value</t>
  </si>
  <si>
    <t xml:space="preserve">High value</t>
  </si>
  <si>
    <t xml:space="preserve">Low $/ac</t>
  </si>
  <si>
    <t xml:space="preserve">Mid $/ac</t>
  </si>
  <si>
    <t xml:space="preserve">High $/ac</t>
  </si>
  <si>
    <t xml:space="preserve">Comment</t>
  </si>
  <si>
    <t xml:space="preserve">Frontage fuel / operator pad</t>
  </si>
  <si>
    <t xml:space="preserve">Reserved for fuel, diesel, truck service, operator pad, or ground lease.</t>
  </si>
  <si>
    <t xml:space="preserve">Controlled truck &amp; trailer yard - Phase 1</t>
  </si>
  <si>
    <t xml:space="preserve">Primary cash-flow validation use.</t>
  </si>
  <si>
    <t xml:space="preserve">Support / drainage / utility / overflow reserve</t>
  </si>
  <si>
    <t xml:space="preserve">Balance of site after front pad and yard.</t>
  </si>
  <si>
    <t xml:space="preserve">Frontage pad plus support/reserve acreage; potential sale, lease, or option value.</t>
  </si>
  <si>
    <t xml:space="preserve">Economic Impact — Clean Structure (drainage folded into yard; only the 5-ac frontage is sold)</t>
  </si>
  <si>
    <t xml:space="preserve">Yard TDC incl. support/drainage land</t>
  </si>
  <si>
    <t xml:space="preserve">Yard 10 ac + support 4.94 ac land folded in</t>
  </si>
  <si>
    <t xml:space="preserve">Yard income value @ 9% cap (base $14/night)</t>
  </si>
  <si>
    <t xml:space="preserve">From Economics base column</t>
  </si>
  <si>
    <t xml:space="preserve">Yard gain</t>
  </si>
  <si>
    <t xml:space="preserve">Income sale less yard basis</t>
  </si>
  <si>
    <t xml:space="preserve">Frontage out-parcel value (5 ac, mid)</t>
  </si>
  <si>
    <t xml:space="preserve">5 ac × mid $/ac</t>
  </si>
  <si>
    <t xml:space="preserve">Frontage out-parcel basis (5 ac)</t>
  </si>
  <si>
    <t xml:space="preserve">5 ac × land basis</t>
  </si>
  <si>
    <t xml:space="preserve">Frontage gain</t>
  </si>
  <si>
    <t xml:space="preserve">Value less basis</t>
  </si>
  <si>
    <t xml:space="preserve">Yard + frontage, before carry</t>
  </si>
  <si>
    <t xml:space="preserve">Base-case yard NOI / yard basis vs 12% floor</t>
  </si>
  <si>
    <t xml:space="preserve">The 5-acre frontage/operator pad is the separable value item. The support/drainage/utility reserve is folded into the yard basis and remains functional land for detention, overflow, utilities, and IOS support. Treat frontage value as optionality until broker validation, entitlement path, utilities, and operator interest are confirmed.</t>
  </si>
</sst>
</file>

<file path=xl/styles.xml><?xml version="1.0" encoding="utf-8"?>
<styleSheet xmlns="http://schemas.openxmlformats.org/spreadsheetml/2006/main">
  <numFmts count="9">
    <numFmt numFmtId="164" formatCode="General"/>
    <numFmt numFmtId="165" formatCode="\$#,##0;[RED]&quot;($&quot;#,##0\);\-"/>
    <numFmt numFmtId="166" formatCode="0.0%"/>
    <numFmt numFmtId="167" formatCode="0.00"/>
    <numFmt numFmtId="168" formatCode="\$#,##0.00"/>
    <numFmt numFmtId="169" formatCode="0"/>
    <numFmt numFmtId="170" formatCode="#,##0.0"/>
    <numFmt numFmtId="171" formatCode="\$#,##0.00;[RED]&quot;($&quot;#,##0.00\);\-"/>
    <numFmt numFmtId="172" formatCode="\$#,##0"/>
  </numFmts>
  <fonts count="15">
    <font>
      <sz val="10"/>
      <name val="Arial"/>
      <family val="2"/>
      <charset val="1"/>
    </font>
    <font>
      <sz val="10"/>
      <name val="Arial"/>
      <family val="0"/>
    </font>
    <font>
      <sz val="10"/>
      <name val="Arial"/>
      <family val="0"/>
    </font>
    <font>
      <sz val="10"/>
      <name val="Arial"/>
      <family val="0"/>
    </font>
    <font>
      <sz val="11"/>
      <name val="Calibri"/>
      <family val="0"/>
      <charset val="1"/>
    </font>
    <font>
      <b val="true"/>
      <sz val="10"/>
      <color rgb="FFFFFFFF"/>
      <name val="Aptos"/>
      <family val="0"/>
      <charset val="1"/>
    </font>
    <font>
      <sz val="10"/>
      <name val="Aptos"/>
      <family val="0"/>
      <charset val="1"/>
    </font>
    <font>
      <sz val="11"/>
      <color rgb="FF374151"/>
      <name val="Calibri"/>
      <family val="0"/>
      <charset val="1"/>
    </font>
    <font>
      <b val="true"/>
      <sz val="11"/>
      <color rgb="FFFFFFFF"/>
      <name val="Calibri"/>
      <family val="0"/>
      <charset val="1"/>
    </font>
    <font>
      <b val="true"/>
      <sz val="11"/>
      <name val="Calibri"/>
      <family val="0"/>
      <charset val="1"/>
    </font>
    <font>
      <sz val="11"/>
      <color rgb="FF0000FF"/>
      <name val="Calibri"/>
      <family val="0"/>
      <charset val="1"/>
    </font>
    <font>
      <sz val="11"/>
      <color rgb="FF000000"/>
      <name val="Calibri"/>
      <family val="0"/>
      <charset val="1"/>
    </font>
    <font>
      <b val="true"/>
      <sz val="14"/>
      <color rgb="FFFFFFFF"/>
      <name val="Calibri"/>
      <family val="0"/>
      <charset val="1"/>
    </font>
    <font>
      <b val="true"/>
      <sz val="16"/>
      <color rgb="FFFFFFFF"/>
      <name val="Calibri"/>
      <family val="0"/>
      <charset val="1"/>
    </font>
    <font>
      <i val="true"/>
      <sz val="11"/>
      <color rgb="FF374151"/>
      <name val="Calibri"/>
      <family val="0"/>
      <charset val="1"/>
    </font>
  </fonts>
  <fills count="10">
    <fill>
      <patternFill patternType="none"/>
    </fill>
    <fill>
      <patternFill patternType="gray125"/>
    </fill>
    <fill>
      <patternFill patternType="solid">
        <fgColor rgb="FF0B1F3A"/>
        <bgColor rgb="FF000000"/>
      </patternFill>
    </fill>
    <fill>
      <patternFill patternType="solid">
        <fgColor rgb="FFEAF2F8"/>
        <bgColor rgb="FFEAF3EA"/>
      </patternFill>
    </fill>
    <fill>
      <patternFill patternType="solid">
        <fgColor rgb="FF0F4A2F"/>
        <bgColor rgb="FF374151"/>
      </patternFill>
    </fill>
    <fill>
      <patternFill patternType="solid">
        <fgColor rgb="FFF8F3E7"/>
        <bgColor rgb="FFF3F4F6"/>
      </patternFill>
    </fill>
    <fill>
      <patternFill patternType="solid">
        <fgColor rgb="FFEAF3EA"/>
        <bgColor rgb="FFEAF2F8"/>
      </patternFill>
    </fill>
    <fill>
      <patternFill patternType="solid">
        <fgColor rgb="FF1F4E79"/>
        <bgColor rgb="FF374151"/>
      </patternFill>
    </fill>
    <fill>
      <patternFill patternType="solid">
        <fgColor rgb="FFF3F4F6"/>
        <bgColor rgb="FFEAF2F8"/>
      </patternFill>
    </fill>
    <fill>
      <patternFill patternType="solid">
        <fgColor rgb="FFFFF8E1"/>
        <bgColor rgb="FFF8F3E7"/>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3" borderId="0" xfId="0" applyFont="true" applyBorder="true" applyAlignment="true" applyProtection="false">
      <alignment horizontal="general" vertical="bottom" textRotation="0" wrapText="true" indent="0" shrinkToFit="false"/>
      <protection locked="true" hidden="false"/>
    </xf>
    <xf numFmtId="164" fontId="8" fillId="4"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5" fontId="4" fillId="0" borderId="0" xfId="0" applyFont="true" applyBorder="false" applyAlignment="true" applyProtection="false">
      <alignment horizontal="general" vertical="bottom" textRotation="0" wrapText="true" indent="0" shrinkToFit="false"/>
      <protection locked="true" hidden="false"/>
    </xf>
    <xf numFmtId="166" fontId="4" fillId="0" borderId="0" xfId="0" applyFont="true" applyBorder="false" applyAlignment="true" applyProtection="false">
      <alignment horizontal="general"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4" fontId="8" fillId="2" borderId="0" xfId="0" applyFont="true" applyBorder="false" applyAlignment="true" applyProtection="false">
      <alignment horizontal="center" vertical="center" textRotation="0" wrapText="true" indent="0" shrinkToFit="false"/>
      <protection locked="true" hidden="false"/>
    </xf>
    <xf numFmtId="165" fontId="9" fillId="5" borderId="0" xfId="0" applyFont="true" applyBorder="false" applyAlignment="true" applyProtection="false">
      <alignment horizontal="general" vertical="bottom" textRotation="0" wrapText="true" indent="0" shrinkToFit="false"/>
      <protection locked="true" hidden="false"/>
    </xf>
    <xf numFmtId="164" fontId="8" fillId="4" borderId="0" xfId="0" applyFont="true" applyBorder="true" applyAlignment="true" applyProtection="false">
      <alignment horizontal="general" vertical="bottom" textRotation="0" wrapText="false" indent="0" shrinkToFit="false"/>
      <protection locked="true" hidden="false"/>
    </xf>
    <xf numFmtId="164" fontId="9" fillId="6" borderId="0" xfId="0" applyFont="true" applyBorder="false" applyAlignment="true" applyProtection="false">
      <alignment horizontal="general"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8" fillId="4" borderId="0" xfId="0" applyFont="true" applyBorder="false" applyAlignment="tru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true" indent="0" shrinkToFit="false"/>
      <protection locked="true" hidden="false"/>
    </xf>
    <xf numFmtId="167" fontId="10" fillId="0" borderId="0" xfId="0" applyFont="true" applyBorder="false" applyAlignment="true" applyProtection="false">
      <alignment horizontal="general" vertical="bottom" textRotation="0" wrapText="true" indent="0" shrinkToFit="false"/>
      <protection locked="true" hidden="false"/>
    </xf>
    <xf numFmtId="166" fontId="10" fillId="0" borderId="0" xfId="0" applyFont="true" applyBorder="false" applyAlignment="true" applyProtection="false">
      <alignment horizontal="general" vertical="bottom" textRotation="0" wrapText="true" indent="0" shrinkToFit="false"/>
      <protection locked="true" hidden="false"/>
    </xf>
    <xf numFmtId="168" fontId="10" fillId="0" borderId="0" xfId="0" applyFont="true" applyBorder="false" applyAlignment="true" applyProtection="false">
      <alignment horizontal="general" vertical="bottom" textRotation="0" wrapText="true" indent="0" shrinkToFit="false"/>
      <protection locked="true" hidden="false"/>
    </xf>
    <xf numFmtId="169" fontId="10" fillId="0" borderId="0" xfId="0" applyFont="true" applyBorder="false" applyAlignment="true" applyProtection="false">
      <alignment horizontal="general" vertical="bottom" textRotation="0" wrapText="true" indent="0" shrinkToFit="false"/>
      <protection locked="true" hidden="false"/>
    </xf>
    <xf numFmtId="164" fontId="8" fillId="7" borderId="0" xfId="0" applyFont="true" applyBorder="true" applyAlignment="true" applyProtection="false">
      <alignment horizontal="left" vertical="center" textRotation="0" wrapText="true" indent="0" shrinkToFit="false"/>
      <protection locked="true" hidden="false"/>
    </xf>
    <xf numFmtId="167" fontId="11" fillId="0" borderId="0" xfId="0" applyFont="true" applyBorder="false" applyAlignment="true" applyProtection="false">
      <alignment horizontal="general" vertical="bottom" textRotation="0" wrapText="tru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70" fontId="4" fillId="0" borderId="0" xfId="0" applyFont="true" applyBorder="false" applyAlignment="true" applyProtection="false">
      <alignment horizontal="general" vertical="bottom" textRotation="0" wrapText="true" indent="0" shrinkToFit="false"/>
      <protection locked="true" hidden="false"/>
    </xf>
    <xf numFmtId="164" fontId="7" fillId="5" borderId="0" xfId="0" applyFont="true" applyBorder="true" applyAlignment="true" applyProtection="false">
      <alignment horizontal="general" vertical="bottom" textRotation="0" wrapText="true" indent="0" shrinkToFit="false"/>
      <protection locked="true" hidden="false"/>
    </xf>
    <xf numFmtId="164" fontId="8" fillId="4" borderId="0" xfId="0" applyFont="true" applyBorder="false" applyAlignment="true" applyProtection="false">
      <alignment horizontal="center" vertical="bottom" textRotation="0" wrapText="true" indent="0" shrinkToFit="false"/>
      <protection locked="true" hidden="false"/>
    </xf>
    <xf numFmtId="167" fontId="4" fillId="0" borderId="0" xfId="0" applyFont="true" applyBorder="false" applyAlignment="true" applyProtection="false">
      <alignment horizontal="general" vertical="bottom" textRotation="0" wrapText="true" indent="0" shrinkToFit="false"/>
      <protection locked="true" hidden="false"/>
    </xf>
    <xf numFmtId="171" fontId="10" fillId="0" borderId="0" xfId="0" applyFont="true" applyBorder="false" applyAlignment="true" applyProtection="false">
      <alignment horizontal="general" vertical="bottom" textRotation="0" wrapText="true" indent="0" shrinkToFit="false"/>
      <protection locked="true" hidden="false"/>
    </xf>
    <xf numFmtId="164" fontId="9" fillId="3" borderId="0" xfId="0" applyFont="true" applyBorder="false" applyAlignment="true" applyProtection="false">
      <alignment horizontal="general" vertical="bottom" textRotation="0" wrapText="true" indent="0" shrinkToFit="false"/>
      <protection locked="true" hidden="false"/>
    </xf>
    <xf numFmtId="165" fontId="9" fillId="3" borderId="0" xfId="0" applyFont="true" applyBorder="false" applyAlignment="true" applyProtection="false">
      <alignment horizontal="general" vertical="bottom" textRotation="0" wrapText="true" indent="0" shrinkToFit="false"/>
      <protection locked="true" hidden="false"/>
    </xf>
    <xf numFmtId="164" fontId="8" fillId="4" borderId="0" xfId="0" applyFont="true" applyBorder="false" applyAlignment="true" applyProtection="false">
      <alignment horizontal="general" vertical="bottom" textRotation="0" wrapText="true" indent="0" shrinkToFit="false"/>
      <protection locked="true" hidden="false"/>
    </xf>
    <xf numFmtId="165" fontId="8" fillId="4" borderId="0" xfId="0" applyFont="true" applyBorder="false" applyAlignment="true" applyProtection="false">
      <alignment horizontal="general" vertical="bottom" textRotation="0" wrapText="true" indent="0" shrinkToFit="false"/>
      <protection locked="true" hidden="false"/>
    </xf>
    <xf numFmtId="172" fontId="10" fillId="0" borderId="0" xfId="0" applyFont="true" applyBorder="fals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3" fillId="2" borderId="0" xfId="0" applyFont="true" applyBorder="true" applyAlignment="true" applyProtection="false">
      <alignment horizontal="left" vertical="bottom" textRotation="0" wrapText="true" indent="0" shrinkToFit="false"/>
      <protection locked="true" hidden="false"/>
    </xf>
    <xf numFmtId="164" fontId="14" fillId="8" borderId="0" xfId="0" applyFont="true" applyBorder="true" applyAlignment="true" applyProtection="false">
      <alignment horizontal="general" vertical="bottom" textRotation="0" wrapText="true" indent="0" shrinkToFit="false"/>
      <protection locked="true" hidden="false"/>
    </xf>
    <xf numFmtId="164" fontId="14" fillId="9"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8E1"/>
      <rgbColor rgb="FFEAF2F8"/>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AF3EA"/>
      <rgbColor rgb="FFF3F4F6"/>
      <rgbColor rgb="FFF8F3E7"/>
      <rgbColor rgb="FF99CCFF"/>
      <rgbColor rgb="FFFF99CC"/>
      <rgbColor rgb="FFCC99FF"/>
      <rgbColor rgb="FFFFCC99"/>
      <rgbColor rgb="FF3366FF"/>
      <rgbColor rgb="FF33CCCC"/>
      <rgbColor rgb="FF99CC00"/>
      <rgbColor rgb="FFFFCC00"/>
      <rgbColor rgb="FFFF9900"/>
      <rgbColor rgb="FFFF6600"/>
      <rgbColor rgb="FF666699"/>
      <rgbColor rgb="FF969696"/>
      <rgbColor rgb="FF0B1F3A"/>
      <rgbColor rgb="FF339966"/>
      <rgbColor rgb="FF0F4A2F"/>
      <rgbColor rgb="FF333300"/>
      <rgbColor rgb="FF993300"/>
      <rgbColor rgb="FF993366"/>
      <rgbColor rgb="FF1F4E79"/>
      <rgbColor rgb="FF374151"/>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ChatGPT">
  <a:themeElements>
    <a:clrScheme name="ChatGPT">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solidFill>
          <a:schemeClr val="dk1"/>
        </a:solidFill>
        <a:solidFill>
          <a:schemeClr val="accent1"/>
        </a:solidFill>
      </a:fillStyleLst>
      <a:lnStyleLst>
        <a:ln w="12700">
          <a:prstDash val="solid"/>
        </a:ln>
        <a:ln w="19050">
          <a:prstDash val="solid"/>
        </a:ln>
        <a:ln w="2540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3" min="2" style="1" width="17"/>
    <col collapsed="false" customWidth="true" hidden="false" outlineLevel="0" max="6" min="4" style="1" width="15"/>
    <col collapsed="false" customWidth="true" hidden="false" outlineLevel="0" max="7" min="7" style="1" width="12"/>
    <col collapsed="false" customWidth="true" hidden="false" outlineLevel="0" max="8" min="8" style="1" width="38"/>
  </cols>
  <sheetData>
    <row r="1" customFormat="false" ht="15" hidden="false" customHeight="true" outlineLevel="0" collapsed="false">
      <c r="A1" s="2" t="s">
        <v>0</v>
      </c>
      <c r="B1" s="2"/>
      <c r="C1" s="2"/>
      <c r="D1" s="2"/>
      <c r="E1" s="2"/>
      <c r="F1" s="2"/>
      <c r="G1" s="2"/>
      <c r="H1" s="2"/>
      <c r="I1" s="3"/>
      <c r="J1" s="3"/>
      <c r="K1" s="3"/>
      <c r="L1" s="3"/>
      <c r="M1" s="3"/>
      <c r="N1" s="3"/>
      <c r="O1" s="3"/>
      <c r="P1" s="3"/>
      <c r="Q1" s="3"/>
      <c r="R1" s="3"/>
      <c r="S1" s="3"/>
      <c r="T1" s="3"/>
      <c r="U1" s="3"/>
      <c r="V1" s="3"/>
      <c r="W1" s="3"/>
      <c r="X1" s="3"/>
      <c r="Y1" s="3"/>
      <c r="Z1" s="3"/>
    </row>
    <row r="2" customFormat="false" ht="15" hidden="false" customHeight="true" outlineLevel="0" collapsed="false">
      <c r="A2" s="4" t="s">
        <v>1</v>
      </c>
      <c r="B2" s="4"/>
      <c r="C2" s="4"/>
      <c r="D2" s="4"/>
      <c r="E2" s="4"/>
      <c r="F2" s="4"/>
      <c r="G2" s="4"/>
      <c r="H2" s="4"/>
    </row>
    <row r="4" customFormat="false" ht="15" hidden="false" customHeight="true" outlineLevel="0" collapsed="false">
      <c r="A4" s="5" t="s">
        <v>2</v>
      </c>
      <c r="B4" s="5" t="s">
        <v>3</v>
      </c>
      <c r="C4" s="5" t="s">
        <v>4</v>
      </c>
      <c r="D4" s="5" t="s">
        <v>5</v>
      </c>
      <c r="E4" s="5" t="s">
        <v>6</v>
      </c>
      <c r="F4" s="5" t="s">
        <v>7</v>
      </c>
      <c r="G4" s="5" t="s">
        <v>8</v>
      </c>
      <c r="H4" s="5" t="s">
        <v>9</v>
      </c>
    </row>
    <row r="5" customFormat="false" ht="27.75" hidden="false" customHeight="true" outlineLevel="0" collapsed="false">
      <c r="A5" s="6" t="s">
        <v>10</v>
      </c>
      <c r="B5" s="7" t="n">
        <f aca="false">Economics!E13</f>
        <v>2795450.18</v>
      </c>
      <c r="C5" s="7" t="n">
        <f aca="false">Budget_Compare!I38</f>
        <v>4849126.8</v>
      </c>
      <c r="D5" s="7" t="n">
        <f aca="false">C5-B5</f>
        <v>2053676.62</v>
      </c>
      <c r="E5" s="8" t="n">
        <f aca="false">Economics!E14</f>
        <v>0.161226983483569</v>
      </c>
      <c r="F5" s="8" t="s">
        <v>11</v>
      </c>
      <c r="G5" s="6" t="str">
        <f aca="false">IF(E5&gt;=Inputs!$B$15,"Clears","Below")</f>
        <v>Clears</v>
      </c>
      <c r="H5" s="6" t="s">
        <v>12</v>
      </c>
    </row>
    <row r="6" customFormat="false" ht="27.75" hidden="false" customHeight="true" outlineLevel="0" collapsed="false">
      <c r="A6" s="6" t="s">
        <v>13</v>
      </c>
      <c r="B6" s="7" t="n">
        <f aca="false">Economics!C10</f>
        <v>450702</v>
      </c>
      <c r="C6" s="7" t="n">
        <f aca="false">Economics!C10</f>
        <v>450702</v>
      </c>
      <c r="D6" s="7"/>
      <c r="E6" s="8"/>
      <c r="F6" s="8"/>
      <c r="G6" s="6"/>
      <c r="H6" s="6" t="s">
        <v>14</v>
      </c>
    </row>
    <row r="7" customFormat="false" ht="27.75" hidden="false" customHeight="true" outlineLevel="0" collapsed="false">
      <c r="A7" s="6" t="s">
        <v>15</v>
      </c>
      <c r="B7" s="7" t="n">
        <f aca="false">Economics!C12</f>
        <v>3755850</v>
      </c>
      <c r="C7" s="7" t="n">
        <f aca="false">Economics!C12</f>
        <v>3755850</v>
      </c>
      <c r="D7" s="7"/>
      <c r="E7" s="8"/>
      <c r="F7" s="8"/>
      <c r="G7" s="6"/>
      <c r="H7" s="6" t="s">
        <v>16</v>
      </c>
    </row>
    <row r="8" customFormat="false" ht="27.75" hidden="false" customHeight="true" outlineLevel="0" collapsed="false">
      <c r="A8" s="6" t="s">
        <v>17</v>
      </c>
      <c r="B8" s="7" t="n">
        <f aca="false">B7-B5</f>
        <v>960399.82</v>
      </c>
      <c r="C8" s="7"/>
      <c r="D8" s="7"/>
      <c r="E8" s="8"/>
      <c r="F8" s="8"/>
      <c r="G8" s="6" t="str">
        <f aca="false">IF(B8&gt;=0,"Cushion","Gap")</f>
        <v>Cushion</v>
      </c>
      <c r="H8" s="6" t="s">
        <v>18</v>
      </c>
    </row>
    <row r="9" customFormat="false" ht="27.75" hidden="false" customHeight="true" outlineLevel="0" collapsed="false">
      <c r="A9" s="6" t="s">
        <v>19</v>
      </c>
      <c r="B9" s="7"/>
      <c r="C9" s="7" t="n">
        <f aca="false">C7-C5</f>
        <v>-1093276.8</v>
      </c>
      <c r="D9" s="7"/>
      <c r="E9" s="8"/>
      <c r="F9" s="8"/>
      <c r="G9" s="6" t="str">
        <f aca="false">IF(C9&gt;=0,"Cushion","Gap")</f>
        <v>Gap</v>
      </c>
      <c r="H9" s="6" t="s">
        <v>20</v>
      </c>
    </row>
    <row r="11" customFormat="false" ht="19.5" hidden="false" customHeight="true" outlineLevel="0" collapsed="false">
      <c r="A11" s="9" t="s">
        <v>21</v>
      </c>
      <c r="B11" s="9"/>
      <c r="C11" s="9"/>
      <c r="D11" s="9"/>
      <c r="E11" s="9"/>
      <c r="F11" s="9"/>
      <c r="G11" s="9"/>
      <c r="H11" s="9"/>
    </row>
    <row r="12" customFormat="false" ht="19.5" hidden="false" customHeight="true" outlineLevel="0" collapsed="false">
      <c r="A12" s="10" t="s">
        <v>22</v>
      </c>
      <c r="B12" s="6" t="s">
        <v>23</v>
      </c>
      <c r="C12" s="10" t="s">
        <v>24</v>
      </c>
      <c r="D12" s="6" t="s">
        <v>25</v>
      </c>
      <c r="E12" s="10" t="s">
        <v>26</v>
      </c>
      <c r="F12" s="6" t="s">
        <v>27</v>
      </c>
      <c r="G12" s="10" t="s">
        <v>28</v>
      </c>
      <c r="H12" s="6" t="s">
        <v>29</v>
      </c>
    </row>
    <row r="13" customFormat="false" ht="19.5" hidden="false" customHeight="true" outlineLevel="0" collapsed="false">
      <c r="A13" s="10"/>
      <c r="B13" s="6"/>
      <c r="C13" s="10"/>
      <c r="D13" s="6"/>
      <c r="E13" s="10"/>
      <c r="F13" s="6"/>
      <c r="G13" s="10"/>
      <c r="H13" s="6"/>
    </row>
    <row r="14" customFormat="false" ht="19.5" hidden="false" customHeight="true" outlineLevel="0" collapsed="false">
      <c r="A14" s="11" t="s">
        <v>30</v>
      </c>
      <c r="B14" s="11" t="s">
        <v>31</v>
      </c>
      <c r="C14" s="11" t="s">
        <v>32</v>
      </c>
      <c r="D14" s="11" t="s">
        <v>33</v>
      </c>
      <c r="E14" s="11" t="s">
        <v>34</v>
      </c>
      <c r="F14" s="11" t="s">
        <v>35</v>
      </c>
      <c r="G14" s="11" t="s">
        <v>36</v>
      </c>
      <c r="H14" s="11" t="s">
        <v>9</v>
      </c>
    </row>
    <row r="15" customFormat="false" ht="19.5" hidden="false" customHeight="true" outlineLevel="0" collapsed="false">
      <c r="A15" s="10" t="s">
        <v>37</v>
      </c>
      <c r="B15" s="7" t="n">
        <f aca="false">Land_Value!B30</f>
        <v>490500</v>
      </c>
      <c r="C15" s="12"/>
      <c r="D15" s="7"/>
      <c r="E15" s="10" t="s">
        <v>38</v>
      </c>
      <c r="F15" s="6" t="s">
        <v>39</v>
      </c>
      <c r="G15" s="10" t="s">
        <v>40</v>
      </c>
      <c r="H15" s="6" t="s">
        <v>41</v>
      </c>
    </row>
    <row r="16" customFormat="false" ht="19.5" hidden="false" customHeight="true" outlineLevel="0" collapsed="false">
      <c r="A16" s="6" t="s">
        <v>42</v>
      </c>
      <c r="B16" s="7" t="n">
        <f aca="false">Land_Value!B31</f>
        <v>2502537.82</v>
      </c>
      <c r="C16" s="8"/>
      <c r="D16" s="8"/>
      <c r="E16" s="6" t="s">
        <v>43</v>
      </c>
      <c r="F16" s="6" t="s">
        <v>39</v>
      </c>
      <c r="G16" s="6" t="s">
        <v>40</v>
      </c>
      <c r="H16" s="6" t="s">
        <v>44</v>
      </c>
    </row>
    <row r="17" customFormat="false" ht="15" hidden="false" customHeight="true" outlineLevel="0" collapsed="false">
      <c r="A17" s="13" t="s">
        <v>45</v>
      </c>
      <c r="B17" s="13"/>
      <c r="C17" s="13"/>
      <c r="D17" s="13"/>
      <c r="E17" s="13"/>
      <c r="F17" s="13"/>
      <c r="G17" s="13"/>
      <c r="H17" s="13"/>
    </row>
    <row r="18" customFormat="false" ht="68.25" hidden="false" customHeight="true" outlineLevel="0" collapsed="false">
      <c r="A18" s="14" t="s">
        <v>46</v>
      </c>
      <c r="B18" s="6" t="s">
        <v>47</v>
      </c>
    </row>
    <row r="19" customFormat="false" ht="54.75" hidden="false" customHeight="true" outlineLevel="0" collapsed="false">
      <c r="A19" s="14" t="s">
        <v>48</v>
      </c>
      <c r="B19" s="6" t="s">
        <v>49</v>
      </c>
    </row>
    <row r="20" customFormat="false" ht="54.75" hidden="false" customHeight="true" outlineLevel="0" collapsed="false">
      <c r="A20" s="14" t="s">
        <v>50</v>
      </c>
      <c r="B20" s="6" t="s">
        <v>51</v>
      </c>
    </row>
    <row r="21" customFormat="false" ht="54.75" hidden="false" customHeight="true" outlineLevel="0" collapsed="false">
      <c r="A21" s="14" t="s">
        <v>52</v>
      </c>
      <c r="B21" s="6" t="s">
        <v>53</v>
      </c>
    </row>
    <row r="22" customFormat="false" ht="41.25" hidden="false" customHeight="true" outlineLevel="0" collapsed="false">
      <c r="A22" s="14" t="s">
        <v>54</v>
      </c>
      <c r="B22" s="6" t="s">
        <v>55</v>
      </c>
    </row>
    <row r="23" customFormat="false" ht="54.75" hidden="false" customHeight="true" outlineLevel="0" collapsed="false">
      <c r="A23" s="14" t="s">
        <v>56</v>
      </c>
      <c r="B23" s="6" t="s">
        <v>57</v>
      </c>
    </row>
    <row r="24" customFormat="false" ht="27.75" hidden="false" customHeight="true" outlineLevel="0" collapsed="false">
      <c r="A24" s="14" t="s">
        <v>58</v>
      </c>
      <c r="B24" s="6" t="s">
        <v>59</v>
      </c>
    </row>
    <row r="25" customFormat="false" ht="68.25" hidden="false" customHeight="true" outlineLevel="0" collapsed="false">
      <c r="A25" s="14" t="s">
        <v>60</v>
      </c>
      <c r="B25" s="6" t="s">
        <v>61</v>
      </c>
    </row>
  </sheetData>
  <mergeCells count="4">
    <mergeCell ref="A1:H1"/>
    <mergeCell ref="A2:H2"/>
    <mergeCell ref="A11:H11"/>
    <mergeCell ref="A17:H1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8"/>
    <col collapsed="false" customWidth="true" hidden="false" outlineLevel="0" max="2" min="2" style="1" width="18"/>
    <col collapsed="false" customWidth="true" hidden="false" outlineLevel="0" max="8" min="3" style="1" width="16"/>
    <col collapsed="false" customWidth="true" hidden="false" outlineLevel="0" max="9" min="9" style="1" width="40"/>
    <col collapsed="false" customWidth="true" hidden="false" outlineLevel="0" max="10" min="10" style="1" width="12"/>
  </cols>
  <sheetData>
    <row r="1" customFormat="false" ht="20.25" hidden="false" customHeight="true" outlineLevel="0" collapsed="false">
      <c r="A1" s="37" t="s">
        <v>504</v>
      </c>
      <c r="B1" s="37"/>
      <c r="C1" s="37"/>
      <c r="D1" s="37"/>
      <c r="E1" s="37"/>
      <c r="F1" s="37"/>
      <c r="G1" s="37"/>
      <c r="H1" s="37"/>
      <c r="I1" s="37"/>
      <c r="J1" s="37"/>
    </row>
    <row r="2" customFormat="false" ht="15" hidden="false" customHeight="true" outlineLevel="0" collapsed="false">
      <c r="A2" s="38" t="s">
        <v>505</v>
      </c>
      <c r="B2" s="38"/>
      <c r="C2" s="38"/>
      <c r="D2" s="38"/>
      <c r="E2" s="38"/>
      <c r="F2" s="38"/>
      <c r="G2" s="38"/>
      <c r="H2" s="38"/>
      <c r="I2" s="38"/>
      <c r="J2" s="38"/>
    </row>
    <row r="3" customFormat="false" ht="15" hidden="false" customHeight="true" outlineLevel="0" collapsed="false">
      <c r="A3" s="6"/>
      <c r="B3" s="6"/>
      <c r="C3" s="6"/>
      <c r="D3" s="6"/>
      <c r="E3" s="6"/>
      <c r="F3" s="6"/>
      <c r="G3" s="6"/>
      <c r="H3" s="6"/>
      <c r="I3" s="6"/>
      <c r="J3" s="6"/>
    </row>
    <row r="4" customFormat="false" ht="27.75" hidden="false" customHeight="true" outlineLevel="0" collapsed="false">
      <c r="A4" s="11" t="s">
        <v>506</v>
      </c>
      <c r="B4" s="11" t="s">
        <v>507</v>
      </c>
      <c r="C4" s="11" t="s">
        <v>508</v>
      </c>
      <c r="D4" s="11" t="s">
        <v>509</v>
      </c>
      <c r="E4" s="11" t="s">
        <v>107</v>
      </c>
      <c r="F4" s="11" t="s">
        <v>510</v>
      </c>
      <c r="G4" s="11" t="s">
        <v>511</v>
      </c>
      <c r="H4" s="11" t="s">
        <v>298</v>
      </c>
      <c r="I4" s="6"/>
      <c r="J4" s="6"/>
    </row>
    <row r="5" customFormat="false" ht="81.75" hidden="false" customHeight="true" outlineLevel="0" collapsed="false">
      <c r="A5" s="6" t="s">
        <v>453</v>
      </c>
      <c r="B5" s="6" t="s">
        <v>512</v>
      </c>
      <c r="C5" s="29" t="n">
        <v>40</v>
      </c>
      <c r="D5" s="7" t="n">
        <v>361370</v>
      </c>
      <c r="E5" s="7" t="n">
        <f aca="false">D5/C5</f>
        <v>9034.25</v>
      </c>
      <c r="F5" s="6" t="s">
        <v>513</v>
      </c>
      <c r="G5" s="6" t="s">
        <v>514</v>
      </c>
      <c r="H5" s="6" t="s">
        <v>515</v>
      </c>
      <c r="I5" s="6"/>
      <c r="J5" s="6"/>
    </row>
    <row r="6" customFormat="false" ht="81.75" hidden="false" customHeight="true" outlineLevel="0" collapsed="false">
      <c r="A6" s="6" t="s">
        <v>458</v>
      </c>
      <c r="B6" s="6" t="s">
        <v>512</v>
      </c>
      <c r="C6" s="29" t="n">
        <v>39</v>
      </c>
      <c r="D6" s="7" t="n">
        <v>513390</v>
      </c>
      <c r="E6" s="7" t="n">
        <f aca="false">D6/C6</f>
        <v>13163.8461538462</v>
      </c>
      <c r="F6" s="6" t="s">
        <v>513</v>
      </c>
      <c r="G6" s="6" t="s">
        <v>516</v>
      </c>
      <c r="H6" s="6" t="s">
        <v>517</v>
      </c>
      <c r="I6" s="6"/>
      <c r="J6" s="6"/>
    </row>
    <row r="7" customFormat="false" ht="81.75" hidden="false" customHeight="true" outlineLevel="0" collapsed="false">
      <c r="A7" s="6" t="s">
        <v>518</v>
      </c>
      <c r="B7" s="6" t="s">
        <v>519</v>
      </c>
      <c r="C7" s="29"/>
      <c r="D7" s="7"/>
      <c r="E7" s="7"/>
      <c r="F7" s="6" t="s">
        <v>520</v>
      </c>
      <c r="G7" s="6" t="s">
        <v>521</v>
      </c>
      <c r="H7" s="6" t="s">
        <v>422</v>
      </c>
      <c r="I7" s="6"/>
      <c r="J7" s="6"/>
    </row>
    <row r="8" customFormat="false" ht="81.75" hidden="false" customHeight="true" outlineLevel="0" collapsed="false">
      <c r="A8" s="6" t="s">
        <v>522</v>
      </c>
      <c r="B8" s="6" t="s">
        <v>523</v>
      </c>
      <c r="C8" s="29"/>
      <c r="D8" s="7"/>
      <c r="E8" s="7" t="n">
        <v>26900</v>
      </c>
      <c r="F8" s="6" t="s">
        <v>524</v>
      </c>
      <c r="G8" s="6" t="s">
        <v>525</v>
      </c>
      <c r="H8" s="6" t="s">
        <v>526</v>
      </c>
      <c r="I8" s="6"/>
      <c r="J8" s="6"/>
    </row>
    <row r="9" customFormat="false" ht="15" hidden="false" customHeight="true" outlineLevel="0" collapsed="false">
      <c r="A9" s="6"/>
      <c r="B9" s="6"/>
      <c r="C9" s="6"/>
      <c r="D9" s="6"/>
      <c r="E9" s="6"/>
      <c r="F9" s="6"/>
      <c r="G9" s="6"/>
      <c r="H9" s="6"/>
      <c r="I9" s="6"/>
      <c r="J9" s="6"/>
    </row>
    <row r="10" customFormat="false" ht="15" hidden="false" customHeight="true" outlineLevel="0" collapsed="false">
      <c r="A10" s="23" t="s">
        <v>527</v>
      </c>
      <c r="B10" s="23"/>
      <c r="C10" s="23"/>
      <c r="D10" s="23"/>
      <c r="E10" s="23"/>
      <c r="F10" s="23"/>
      <c r="G10" s="23"/>
      <c r="H10" s="23"/>
      <c r="I10" s="23"/>
      <c r="J10" s="23"/>
    </row>
    <row r="11" customFormat="false" ht="15" hidden="false" customHeight="true" outlineLevel="0" collapsed="false">
      <c r="A11" s="11" t="s">
        <v>528</v>
      </c>
      <c r="B11" s="11" t="s">
        <v>170</v>
      </c>
      <c r="C11" s="11" t="s">
        <v>107</v>
      </c>
      <c r="D11" s="11" t="s">
        <v>9</v>
      </c>
      <c r="E11" s="6"/>
      <c r="F11" s="6"/>
      <c r="G11" s="6"/>
      <c r="H11" s="6"/>
      <c r="I11" s="6"/>
      <c r="J11" s="6"/>
    </row>
    <row r="12" customFormat="false" ht="68.25" hidden="false" customHeight="true" outlineLevel="0" collapsed="false">
      <c r="A12" s="6" t="s">
        <v>529</v>
      </c>
      <c r="B12" s="6" t="s">
        <v>530</v>
      </c>
      <c r="C12" s="7" t="n">
        <v>26900</v>
      </c>
      <c r="D12" s="6" t="s">
        <v>531</v>
      </c>
      <c r="E12" s="6"/>
      <c r="F12" s="6"/>
      <c r="G12" s="6"/>
      <c r="H12" s="6"/>
      <c r="I12" s="6"/>
      <c r="J12" s="6"/>
    </row>
    <row r="13" customFormat="false" ht="54.75" hidden="false" customHeight="true" outlineLevel="0" collapsed="false">
      <c r="A13" s="6" t="s">
        <v>532</v>
      </c>
      <c r="B13" s="6" t="s">
        <v>533</v>
      </c>
      <c r="C13" s="7" t="n">
        <v>125000</v>
      </c>
      <c r="D13" s="6" t="s">
        <v>534</v>
      </c>
      <c r="E13" s="6"/>
      <c r="F13" s="6"/>
      <c r="G13" s="6"/>
      <c r="H13" s="6"/>
      <c r="I13" s="6"/>
      <c r="J13" s="6"/>
    </row>
    <row r="14" customFormat="false" ht="54.75" hidden="false" customHeight="true" outlineLevel="0" collapsed="false">
      <c r="A14" s="6" t="s">
        <v>535</v>
      </c>
      <c r="B14" s="6" t="s">
        <v>536</v>
      </c>
      <c r="C14" s="7" t="n">
        <v>175000</v>
      </c>
      <c r="D14" s="6" t="s">
        <v>537</v>
      </c>
      <c r="E14" s="6"/>
      <c r="F14" s="6"/>
      <c r="G14" s="6"/>
      <c r="H14" s="6"/>
      <c r="I14" s="6"/>
      <c r="J14" s="6"/>
    </row>
    <row r="15" customFormat="false" ht="15" hidden="false" customHeight="true" outlineLevel="0" collapsed="false">
      <c r="A15" s="6"/>
      <c r="B15" s="6"/>
      <c r="C15" s="6"/>
      <c r="D15" s="6"/>
      <c r="E15" s="6"/>
      <c r="F15" s="6"/>
      <c r="G15" s="6"/>
      <c r="H15" s="6"/>
      <c r="I15" s="6"/>
      <c r="J15" s="6"/>
    </row>
    <row r="16" customFormat="false" ht="15" hidden="false" customHeight="true" outlineLevel="0" collapsed="false">
      <c r="A16" s="23" t="s">
        <v>538</v>
      </c>
      <c r="B16" s="23"/>
      <c r="C16" s="23"/>
      <c r="D16" s="23"/>
      <c r="E16" s="23"/>
      <c r="F16" s="23"/>
      <c r="G16" s="23"/>
      <c r="H16" s="23"/>
      <c r="I16" s="23"/>
      <c r="J16" s="23"/>
    </row>
    <row r="17" customFormat="false" ht="15" hidden="false" customHeight="true" outlineLevel="0" collapsed="false">
      <c r="A17" s="11" t="s">
        <v>539</v>
      </c>
      <c r="B17" s="11" t="s">
        <v>508</v>
      </c>
      <c r="C17" s="11" t="s">
        <v>540</v>
      </c>
      <c r="D17" s="11" t="s">
        <v>541</v>
      </c>
      <c r="E17" s="11" t="s">
        <v>542</v>
      </c>
      <c r="F17" s="11" t="s">
        <v>543</v>
      </c>
      <c r="G17" s="11" t="s">
        <v>544</v>
      </c>
      <c r="H17" s="11" t="s">
        <v>545</v>
      </c>
      <c r="I17" s="11" t="s">
        <v>546</v>
      </c>
      <c r="J17" s="6"/>
    </row>
    <row r="18" customFormat="false" ht="27.75" hidden="false" customHeight="true" outlineLevel="0" collapsed="false">
      <c r="A18" s="6" t="s">
        <v>547</v>
      </c>
      <c r="B18" s="29" t="n">
        <v>5</v>
      </c>
      <c r="C18" s="7" t="n">
        <f aca="false">B18*F18</f>
        <v>134500</v>
      </c>
      <c r="D18" s="7" t="n">
        <f aca="false">B18*G18</f>
        <v>625000</v>
      </c>
      <c r="E18" s="7" t="n">
        <f aca="false">B18*H18</f>
        <v>875000</v>
      </c>
      <c r="F18" s="7" t="n">
        <f aca="false">$C$12</f>
        <v>26900</v>
      </c>
      <c r="G18" s="7" t="n">
        <f aca="false">$C$13</f>
        <v>125000</v>
      </c>
      <c r="H18" s="7" t="n">
        <f aca="false">$C$14</f>
        <v>175000</v>
      </c>
      <c r="I18" s="6" t="s">
        <v>548</v>
      </c>
      <c r="J18" s="6"/>
    </row>
    <row r="19" customFormat="false" ht="27.75" hidden="false" customHeight="true" outlineLevel="0" collapsed="false">
      <c r="A19" s="6" t="s">
        <v>549</v>
      </c>
      <c r="B19" s="29" t="n">
        <v>10</v>
      </c>
      <c r="C19" s="7" t="n">
        <f aca="false">B19*F19</f>
        <v>269000</v>
      </c>
      <c r="D19" s="7" t="n">
        <f aca="false">B19*G19</f>
        <v>1250000</v>
      </c>
      <c r="E19" s="7" t="n">
        <f aca="false">B19*H19</f>
        <v>1750000</v>
      </c>
      <c r="F19" s="7" t="n">
        <f aca="false">$C$12</f>
        <v>26900</v>
      </c>
      <c r="G19" s="7" t="n">
        <f aca="false">$C$13</f>
        <v>125000</v>
      </c>
      <c r="H19" s="7" t="n">
        <f aca="false">$C$14</f>
        <v>175000</v>
      </c>
      <c r="I19" s="6" t="s">
        <v>550</v>
      </c>
      <c r="J19" s="6"/>
    </row>
    <row r="20" customFormat="false" ht="27.75" hidden="false" customHeight="true" outlineLevel="0" collapsed="false">
      <c r="A20" s="6" t="s">
        <v>551</v>
      </c>
      <c r="B20" s="29" t="n">
        <f aca="false">Inputs!B5-B18-B19</f>
        <v>4.94</v>
      </c>
      <c r="C20" s="7" t="n">
        <f aca="false">B20*F20</f>
        <v>132886</v>
      </c>
      <c r="D20" s="7" t="n">
        <f aca="false">B20*G20</f>
        <v>617500</v>
      </c>
      <c r="E20" s="7" t="n">
        <f aca="false">B20*H20</f>
        <v>864500</v>
      </c>
      <c r="F20" s="7" t="n">
        <f aca="false">$C$12</f>
        <v>26900</v>
      </c>
      <c r="G20" s="7" t="n">
        <f aca="false">$C$13</f>
        <v>125000</v>
      </c>
      <c r="H20" s="7" t="n">
        <f aca="false">$C$14</f>
        <v>175000</v>
      </c>
      <c r="I20" s="6" t="s">
        <v>552</v>
      </c>
      <c r="J20" s="6"/>
    </row>
    <row r="21" customFormat="false" ht="27.75" hidden="false" customHeight="true" outlineLevel="0" collapsed="false">
      <c r="A21" s="6" t="s">
        <v>138</v>
      </c>
      <c r="B21" s="29" t="n">
        <f aca="false">Inputs!B5-B19</f>
        <v>9.94</v>
      </c>
      <c r="C21" s="7" t="n">
        <f aca="false">B21*F21</f>
        <v>267386</v>
      </c>
      <c r="D21" s="7" t="n">
        <f aca="false">B21*G21</f>
        <v>1242500</v>
      </c>
      <c r="E21" s="7" t="n">
        <f aca="false">B21*H21</f>
        <v>1739500</v>
      </c>
      <c r="F21" s="7" t="n">
        <f aca="false">$C$12</f>
        <v>26900</v>
      </c>
      <c r="G21" s="7" t="n">
        <f aca="false">$C$13</f>
        <v>125000</v>
      </c>
      <c r="H21" s="7" t="n">
        <f aca="false">$C$14</f>
        <v>175000</v>
      </c>
      <c r="I21" s="6" t="s">
        <v>553</v>
      </c>
      <c r="J21" s="6"/>
    </row>
    <row r="22" customFormat="false" ht="15" hidden="false" customHeight="true" outlineLevel="0" collapsed="false">
      <c r="A22" s="6"/>
      <c r="B22" s="6"/>
      <c r="C22" s="6"/>
      <c r="D22" s="6"/>
      <c r="E22" s="6"/>
      <c r="F22" s="6"/>
      <c r="G22" s="6"/>
      <c r="H22" s="6"/>
      <c r="I22" s="6"/>
      <c r="J22" s="6"/>
    </row>
    <row r="23" customFormat="false" ht="15" hidden="false" customHeight="true" outlineLevel="0" collapsed="false">
      <c r="A23" s="23" t="s">
        <v>554</v>
      </c>
      <c r="B23" s="23"/>
      <c r="C23" s="23"/>
      <c r="D23" s="23"/>
      <c r="E23" s="23"/>
      <c r="F23" s="23"/>
      <c r="G23" s="23"/>
      <c r="H23" s="23"/>
      <c r="I23" s="23"/>
      <c r="J23" s="23"/>
    </row>
    <row r="24" customFormat="false" ht="15" hidden="false" customHeight="true" outlineLevel="0" collapsed="false">
      <c r="A24" s="11" t="s">
        <v>2</v>
      </c>
      <c r="B24" s="11" t="s">
        <v>64</v>
      </c>
      <c r="C24" s="11"/>
      <c r="D24" s="11"/>
      <c r="E24" s="11" t="s">
        <v>9</v>
      </c>
      <c r="F24" s="6"/>
      <c r="G24" s="6"/>
      <c r="H24" s="6"/>
      <c r="I24" s="6"/>
      <c r="J24" s="6"/>
    </row>
    <row r="25" customFormat="false" ht="41.25" hidden="false" customHeight="true" outlineLevel="0" collapsed="false">
      <c r="A25" s="6" t="s">
        <v>555</v>
      </c>
      <c r="B25" s="7" t="n">
        <f aca="false">Budget_Compare!G38+B20*Inputs!B20</f>
        <v>2795450.18</v>
      </c>
      <c r="C25" s="7"/>
      <c r="D25" s="7"/>
      <c r="E25" s="6" t="s">
        <v>556</v>
      </c>
      <c r="F25" s="6"/>
      <c r="G25" s="6"/>
      <c r="H25" s="6"/>
      <c r="I25" s="6"/>
      <c r="J25" s="6"/>
    </row>
    <row r="26" customFormat="false" ht="27.75" hidden="false" customHeight="true" outlineLevel="0" collapsed="false">
      <c r="A26" s="6" t="s">
        <v>557</v>
      </c>
      <c r="B26" s="7" t="n">
        <f aca="false">Economics!C16</f>
        <v>4807488</v>
      </c>
      <c r="C26" s="7"/>
      <c r="D26" s="7"/>
      <c r="E26" s="6" t="s">
        <v>558</v>
      </c>
      <c r="F26" s="6"/>
      <c r="G26" s="6"/>
      <c r="H26" s="6"/>
      <c r="I26" s="6"/>
      <c r="J26" s="6"/>
    </row>
    <row r="27" customFormat="false" ht="27.75" hidden="false" customHeight="true" outlineLevel="0" collapsed="false">
      <c r="A27" s="6" t="s">
        <v>559</v>
      </c>
      <c r="B27" s="7" t="n">
        <f aca="false">B26-B25</f>
        <v>2012037.82</v>
      </c>
      <c r="C27" s="7"/>
      <c r="D27" s="7"/>
      <c r="E27" s="6" t="s">
        <v>560</v>
      </c>
      <c r="F27" s="6"/>
      <c r="G27" s="6"/>
      <c r="H27" s="6"/>
      <c r="I27" s="6"/>
      <c r="J27" s="6"/>
    </row>
    <row r="28" customFormat="false" ht="27.75" hidden="false" customHeight="true" outlineLevel="0" collapsed="false">
      <c r="A28" s="6" t="s">
        <v>561</v>
      </c>
      <c r="B28" s="7" t="n">
        <f aca="false">D18</f>
        <v>625000</v>
      </c>
      <c r="C28" s="7"/>
      <c r="D28" s="7"/>
      <c r="E28" s="6" t="s">
        <v>562</v>
      </c>
      <c r="F28" s="6"/>
      <c r="G28" s="6"/>
      <c r="H28" s="6"/>
      <c r="I28" s="6"/>
      <c r="J28" s="6"/>
    </row>
    <row r="29" customFormat="false" ht="15" hidden="false" customHeight="true" outlineLevel="0" collapsed="false">
      <c r="A29" s="6" t="s">
        <v>563</v>
      </c>
      <c r="B29" s="7" t="n">
        <f aca="false">B18*Inputs!B20</f>
        <v>134500</v>
      </c>
      <c r="C29" s="7"/>
      <c r="D29" s="7"/>
      <c r="E29" s="6" t="s">
        <v>564</v>
      </c>
      <c r="F29" s="6"/>
      <c r="G29" s="6"/>
      <c r="H29" s="6"/>
      <c r="I29" s="6"/>
      <c r="J29" s="6"/>
    </row>
    <row r="30" customFormat="false" ht="15" hidden="false" customHeight="true" outlineLevel="0" collapsed="false">
      <c r="A30" s="6" t="s">
        <v>565</v>
      </c>
      <c r="B30" s="7" t="n">
        <f aca="false">B28-B29</f>
        <v>490500</v>
      </c>
      <c r="C30" s="7"/>
      <c r="D30" s="7"/>
      <c r="E30" s="6" t="s">
        <v>566</v>
      </c>
      <c r="F30" s="6"/>
      <c r="G30" s="6"/>
      <c r="H30" s="6"/>
      <c r="I30" s="6"/>
      <c r="J30" s="6"/>
    </row>
    <row r="31" customFormat="false" ht="27.75" hidden="false" customHeight="true" outlineLevel="0" collapsed="false">
      <c r="A31" s="6" t="s">
        <v>42</v>
      </c>
      <c r="B31" s="7" t="n">
        <f aca="false">B27+B30</f>
        <v>2502537.82</v>
      </c>
      <c r="C31" s="8"/>
      <c r="D31" s="8"/>
      <c r="E31" s="6" t="s">
        <v>567</v>
      </c>
      <c r="F31" s="6"/>
      <c r="G31" s="6"/>
      <c r="H31" s="6"/>
      <c r="I31" s="6"/>
      <c r="J31" s="6"/>
    </row>
    <row r="32" customFormat="false" ht="54.75" hidden="false" customHeight="true" outlineLevel="0" collapsed="false">
      <c r="A32" s="6" t="s">
        <v>277</v>
      </c>
      <c r="B32" s="6" t="str">
        <f aca="false">IF(Economics!C10/B25&gt;=Inputs!B15,"YES","NO")</f>
        <v>YES</v>
      </c>
      <c r="C32" s="6"/>
      <c r="D32" s="6"/>
      <c r="E32" s="6" t="s">
        <v>568</v>
      </c>
      <c r="F32" s="6"/>
      <c r="G32" s="6"/>
      <c r="H32" s="6"/>
      <c r="I32" s="6"/>
      <c r="J32" s="6"/>
    </row>
    <row r="33" customFormat="false" ht="15" hidden="false" customHeight="true" outlineLevel="0" collapsed="false">
      <c r="A33" s="6"/>
      <c r="B33" s="6"/>
      <c r="C33" s="6"/>
      <c r="D33" s="6"/>
      <c r="E33" s="6"/>
      <c r="F33" s="6"/>
      <c r="G33" s="6"/>
      <c r="H33" s="6"/>
      <c r="I33" s="6"/>
      <c r="J33" s="6"/>
    </row>
    <row r="34" customFormat="false" ht="15" hidden="false" customHeight="true" outlineLevel="0" collapsed="false">
      <c r="A34" s="39" t="s">
        <v>569</v>
      </c>
      <c r="B34" s="39"/>
      <c r="C34" s="39"/>
      <c r="D34" s="39"/>
      <c r="E34" s="39"/>
      <c r="F34" s="39"/>
      <c r="G34" s="39"/>
      <c r="H34" s="39"/>
      <c r="I34" s="39"/>
      <c r="J34" s="39"/>
    </row>
    <row r="35" customFormat="false" ht="15" hidden="false" customHeight="true" outlineLevel="0" collapsed="false">
      <c r="A35" s="39"/>
      <c r="B35" s="39"/>
      <c r="C35" s="39"/>
      <c r="D35" s="39"/>
      <c r="E35" s="39"/>
      <c r="F35" s="39"/>
      <c r="G35" s="39"/>
      <c r="H35" s="39"/>
      <c r="I35" s="39"/>
      <c r="J35" s="39"/>
    </row>
    <row r="36" customFormat="false" ht="15" hidden="false" customHeight="true" outlineLevel="0" collapsed="false">
      <c r="A36" s="39"/>
      <c r="B36" s="39"/>
      <c r="C36" s="39"/>
      <c r="D36" s="39"/>
      <c r="E36" s="39"/>
      <c r="F36" s="39"/>
      <c r="G36" s="39"/>
      <c r="H36" s="39"/>
      <c r="I36" s="39"/>
      <c r="J36" s="39"/>
    </row>
  </sheetData>
  <mergeCells count="6">
    <mergeCell ref="A1:J1"/>
    <mergeCell ref="A2:J2"/>
    <mergeCell ref="A10:J10"/>
    <mergeCell ref="A16:J16"/>
    <mergeCell ref="A23:J23"/>
    <mergeCell ref="A34:J3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4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2"/>
    <col collapsed="false" customWidth="true" hidden="false" outlineLevel="0" max="3" min="2" style="1" width="18"/>
    <col collapsed="false" customWidth="true" hidden="false" outlineLevel="0" max="4" min="4" style="1" width="52"/>
  </cols>
  <sheetData>
    <row r="1" customFormat="false" ht="15" hidden="false" customHeight="true" outlineLevel="0" collapsed="false">
      <c r="A1" s="15" t="s">
        <v>62</v>
      </c>
      <c r="B1" s="15"/>
      <c r="C1" s="15"/>
      <c r="D1" s="15"/>
      <c r="E1" s="16"/>
      <c r="F1" s="16"/>
      <c r="G1" s="16"/>
      <c r="H1" s="16"/>
      <c r="I1" s="3"/>
      <c r="J1" s="3"/>
      <c r="K1" s="3"/>
      <c r="L1" s="3"/>
      <c r="M1" s="3"/>
      <c r="N1" s="3"/>
      <c r="O1" s="3"/>
      <c r="P1" s="3"/>
      <c r="Q1" s="3"/>
      <c r="R1" s="3"/>
      <c r="S1" s="3"/>
      <c r="T1" s="3"/>
      <c r="U1" s="3"/>
      <c r="V1" s="3"/>
      <c r="W1" s="3"/>
      <c r="X1" s="3"/>
      <c r="Y1" s="3"/>
      <c r="Z1" s="3"/>
    </row>
    <row r="3" customFormat="false" ht="15" hidden="false" customHeight="true" outlineLevel="0" collapsed="false">
      <c r="A3" s="17" t="s">
        <v>63</v>
      </c>
      <c r="B3" s="17" t="s">
        <v>64</v>
      </c>
      <c r="C3" s="17" t="s">
        <v>65</v>
      </c>
      <c r="D3" s="17" t="s">
        <v>66</v>
      </c>
    </row>
    <row r="4" customFormat="false" ht="15" hidden="false" customHeight="true" outlineLevel="0" collapsed="false">
      <c r="A4" s="6" t="s">
        <v>67</v>
      </c>
      <c r="B4" s="18" t="s">
        <v>68</v>
      </c>
      <c r="C4" s="6" t="s">
        <v>69</v>
      </c>
      <c r="D4" s="6" t="s">
        <v>70</v>
      </c>
    </row>
    <row r="5" customFormat="false" ht="15" hidden="false" customHeight="true" outlineLevel="0" collapsed="false">
      <c r="A5" s="6" t="s">
        <v>71</v>
      </c>
      <c r="B5" s="19" t="n">
        <v>19.94</v>
      </c>
      <c r="C5" s="6" t="s">
        <v>72</v>
      </c>
      <c r="D5" s="6" t="s">
        <v>73</v>
      </c>
    </row>
    <row r="6" customFormat="false" ht="15" hidden="false" customHeight="true" outlineLevel="0" collapsed="false">
      <c r="A6" s="6" t="s">
        <v>74</v>
      </c>
      <c r="B6" s="19" t="n">
        <v>540</v>
      </c>
      <c r="C6" s="6" t="s">
        <v>75</v>
      </c>
      <c r="D6" s="6" t="s">
        <v>68</v>
      </c>
    </row>
    <row r="7" customFormat="false" ht="15" hidden="false" customHeight="true" outlineLevel="0" collapsed="false">
      <c r="A7" s="6" t="s">
        <v>76</v>
      </c>
      <c r="B7" s="19" t="n">
        <v>1722</v>
      </c>
      <c r="C7" s="6" t="s">
        <v>75</v>
      </c>
      <c r="D7" s="6" t="s">
        <v>68</v>
      </c>
    </row>
    <row r="8" customFormat="false" ht="15" hidden="false" customHeight="true" outlineLevel="0" collapsed="false">
      <c r="A8" s="6" t="s">
        <v>77</v>
      </c>
      <c r="B8" s="19" t="n">
        <v>10</v>
      </c>
      <c r="C8" s="6" t="s">
        <v>72</v>
      </c>
      <c r="D8" s="6" t="s">
        <v>78</v>
      </c>
    </row>
    <row r="9" customFormat="false" ht="15" hidden="false" customHeight="true" outlineLevel="0" collapsed="false">
      <c r="A9" s="6" t="s">
        <v>79</v>
      </c>
      <c r="B9" s="19" t="n">
        <f aca="false">B5-B8</f>
        <v>9.94</v>
      </c>
      <c r="C9" s="6" t="s">
        <v>72</v>
      </c>
      <c r="D9" s="6" t="s">
        <v>80</v>
      </c>
    </row>
    <row r="10" customFormat="false" ht="15" hidden="false" customHeight="true" outlineLevel="0" collapsed="false">
      <c r="A10" s="6" t="s">
        <v>81</v>
      </c>
      <c r="B10" s="19" t="n">
        <v>0.8</v>
      </c>
      <c r="C10" s="6" t="s">
        <v>82</v>
      </c>
      <c r="D10" s="6" t="s">
        <v>68</v>
      </c>
    </row>
    <row r="11" customFormat="false" ht="15" hidden="false" customHeight="true" outlineLevel="0" collapsed="false">
      <c r="A11" s="6" t="s">
        <v>83</v>
      </c>
      <c r="B11" s="19" t="n">
        <v>0</v>
      </c>
      <c r="C11" s="6" t="s">
        <v>84</v>
      </c>
      <c r="D11" s="6" t="s">
        <v>85</v>
      </c>
    </row>
    <row r="12" customFormat="false" ht="15" hidden="false" customHeight="true" outlineLevel="0" collapsed="false">
      <c r="A12" s="6" t="s">
        <v>86</v>
      </c>
      <c r="B12" s="19" t="n">
        <v>0</v>
      </c>
      <c r="C12" s="6" t="s">
        <v>84</v>
      </c>
      <c r="D12" s="6" t="s">
        <v>87</v>
      </c>
    </row>
    <row r="13" customFormat="false" ht="15" hidden="false" customHeight="true" outlineLevel="0" collapsed="false">
      <c r="A13" s="6" t="s">
        <v>88</v>
      </c>
      <c r="B13" s="20" t="s">
        <v>89</v>
      </c>
      <c r="C13" s="6" t="s">
        <v>90</v>
      </c>
      <c r="D13" s="6" t="s">
        <v>91</v>
      </c>
    </row>
    <row r="14" customFormat="false" ht="15" hidden="false" customHeight="true" outlineLevel="0" collapsed="false">
      <c r="A14" s="6" t="s">
        <v>92</v>
      </c>
      <c r="B14" s="18" t="s">
        <v>93</v>
      </c>
      <c r="C14" s="6" t="s">
        <v>90</v>
      </c>
      <c r="D14" s="6" t="s">
        <v>94</v>
      </c>
    </row>
    <row r="15" customFormat="false" ht="15" hidden="false" customHeight="true" outlineLevel="0" collapsed="false">
      <c r="A15" s="6" t="s">
        <v>95</v>
      </c>
      <c r="B15" s="20" t="n">
        <v>0.12</v>
      </c>
      <c r="C15" s="6" t="s">
        <v>84</v>
      </c>
      <c r="D15" s="6" t="s">
        <v>96</v>
      </c>
    </row>
    <row r="16" customFormat="false" ht="15" hidden="false" customHeight="true" outlineLevel="0" collapsed="false">
      <c r="A16" s="6" t="s">
        <v>97</v>
      </c>
      <c r="B16" s="21" t="n">
        <v>14</v>
      </c>
      <c r="C16" s="6" t="s">
        <v>98</v>
      </c>
      <c r="D16" s="6" t="s">
        <v>99</v>
      </c>
    </row>
    <row r="17" customFormat="false" ht="15" hidden="false" customHeight="true" outlineLevel="0" collapsed="false">
      <c r="A17" s="6" t="s">
        <v>100</v>
      </c>
      <c r="B17" s="20" t="n">
        <v>0.7</v>
      </c>
      <c r="C17" s="6" t="s">
        <v>84</v>
      </c>
      <c r="D17" s="6" t="s">
        <v>99</v>
      </c>
    </row>
    <row r="18" customFormat="false" ht="15" hidden="false" customHeight="true" outlineLevel="0" collapsed="false">
      <c r="A18" s="6" t="s">
        <v>101</v>
      </c>
      <c r="B18" s="20" t="n">
        <v>0.3</v>
      </c>
      <c r="C18" s="6" t="s">
        <v>102</v>
      </c>
      <c r="D18" s="6" t="s">
        <v>99</v>
      </c>
    </row>
    <row r="19" customFormat="false" ht="15" hidden="false" customHeight="true" outlineLevel="0" collapsed="false">
      <c r="A19" s="6" t="s">
        <v>103</v>
      </c>
      <c r="B19" s="18" t="n">
        <v>180</v>
      </c>
      <c r="C19" s="6" t="s">
        <v>104</v>
      </c>
      <c r="D19" s="6" t="s">
        <v>105</v>
      </c>
    </row>
    <row r="20" customFormat="false" ht="15" hidden="false" customHeight="true" outlineLevel="0" collapsed="false">
      <c r="A20" s="6" t="s">
        <v>106</v>
      </c>
      <c r="B20" s="22" t="n">
        <v>26900</v>
      </c>
      <c r="C20" s="6" t="s">
        <v>107</v>
      </c>
      <c r="D20" s="6" t="s">
        <v>108</v>
      </c>
    </row>
    <row r="21" customFormat="false" ht="15" hidden="false" customHeight="true" outlineLevel="0" collapsed="false">
      <c r="A21" s="6" t="s">
        <v>109</v>
      </c>
      <c r="B21" s="22" t="n">
        <v>6</v>
      </c>
      <c r="C21" s="6" t="s">
        <v>110</v>
      </c>
      <c r="D21" s="6" t="s">
        <v>111</v>
      </c>
    </row>
    <row r="22" customFormat="false" ht="15" hidden="false" customHeight="true" outlineLevel="0" collapsed="false">
      <c r="A22" s="6" t="s">
        <v>112</v>
      </c>
      <c r="B22" s="18" t="n">
        <v>8</v>
      </c>
      <c r="C22" s="6" t="s">
        <v>110</v>
      </c>
      <c r="D22" s="6" t="s">
        <v>111</v>
      </c>
    </row>
    <row r="23" customFormat="false" ht="15" hidden="false" customHeight="true" outlineLevel="0" collapsed="false">
      <c r="A23" s="6" t="s">
        <v>113</v>
      </c>
      <c r="B23" s="18" t="n">
        <v>10</v>
      </c>
      <c r="C23" s="6" t="s">
        <v>110</v>
      </c>
      <c r="D23" s="6" t="s">
        <v>111</v>
      </c>
    </row>
    <row r="24" customFormat="false" ht="15" hidden="false" customHeight="true" outlineLevel="0" collapsed="false">
      <c r="A24" s="6" t="s">
        <v>114</v>
      </c>
      <c r="B24" s="18" t="n">
        <v>1.5</v>
      </c>
      <c r="C24" s="6" t="s">
        <v>115</v>
      </c>
      <c r="D24" s="6" t="s">
        <v>116</v>
      </c>
    </row>
    <row r="25" customFormat="false" ht="15" hidden="false" customHeight="true" outlineLevel="0" collapsed="false">
      <c r="A25" s="6" t="s">
        <v>117</v>
      </c>
      <c r="B25" s="22" t="n">
        <f aca="false">2*(B6+(B8*43560/B6))</f>
        <v>2693.33333333333</v>
      </c>
      <c r="C25" s="6" t="s">
        <v>118</v>
      </c>
      <c r="D25" s="6" t="s">
        <v>119</v>
      </c>
    </row>
    <row r="26" customFormat="false" ht="15" hidden="false" customHeight="true" outlineLevel="0" collapsed="false">
      <c r="A26" s="6" t="s">
        <v>120</v>
      </c>
      <c r="B26" s="22" t="n">
        <f aca="false">2*(B6+B7)</f>
        <v>4524</v>
      </c>
      <c r="C26" s="6" t="s">
        <v>118</v>
      </c>
      <c r="D26" s="6" t="s">
        <v>121</v>
      </c>
    </row>
    <row r="27" customFormat="false" ht="15" hidden="false" customHeight="true" outlineLevel="0" collapsed="false">
      <c r="A27" s="6" t="s">
        <v>122</v>
      </c>
      <c r="B27" s="20" t="n">
        <v>0.06</v>
      </c>
      <c r="C27" s="6" t="s">
        <v>84</v>
      </c>
      <c r="D27" s="6" t="s">
        <v>123</v>
      </c>
    </row>
    <row r="28" customFormat="false" ht="15" hidden="false" customHeight="true" outlineLevel="0" collapsed="false">
      <c r="A28" s="6" t="s">
        <v>124</v>
      </c>
      <c r="B28" s="20" t="n">
        <v>0.15</v>
      </c>
      <c r="C28" s="6" t="s">
        <v>84</v>
      </c>
      <c r="D28" s="6" t="s">
        <v>123</v>
      </c>
    </row>
    <row r="29" customFormat="false" ht="15" hidden="false" customHeight="true" outlineLevel="0" collapsed="false">
      <c r="A29" s="6" t="s">
        <v>125</v>
      </c>
      <c r="B29" s="20" t="n">
        <v>0.15</v>
      </c>
      <c r="C29" s="6" t="s">
        <v>84</v>
      </c>
      <c r="D29" s="6" t="s">
        <v>123</v>
      </c>
    </row>
    <row r="30" customFormat="false" ht="15" hidden="false" customHeight="true" outlineLevel="0" collapsed="false">
      <c r="A30" s="6" t="s">
        <v>126</v>
      </c>
      <c r="B30" s="20" t="n">
        <v>0.2</v>
      </c>
      <c r="C30" s="6" t="s">
        <v>84</v>
      </c>
      <c r="D30" s="6" t="s">
        <v>123</v>
      </c>
    </row>
    <row r="31" customFormat="false" ht="15" hidden="false" customHeight="true" outlineLevel="0" collapsed="false">
      <c r="A31" s="6" t="s">
        <v>127</v>
      </c>
      <c r="B31" s="20" t="n">
        <v>0.09</v>
      </c>
      <c r="C31" s="6" t="s">
        <v>84</v>
      </c>
      <c r="D31" s="6" t="s">
        <v>128</v>
      </c>
    </row>
    <row r="32" customFormat="false" ht="15" hidden="false" customHeight="true" outlineLevel="0" collapsed="false">
      <c r="A32" s="6" t="s">
        <v>129</v>
      </c>
      <c r="B32" s="20" t="n">
        <v>0.04</v>
      </c>
      <c r="C32" s="6" t="s">
        <v>84</v>
      </c>
      <c r="D32" s="6" t="s">
        <v>130</v>
      </c>
    </row>
    <row r="34" customFormat="false" ht="15" hidden="false" customHeight="true" outlineLevel="0" collapsed="false">
      <c r="A34" s="23" t="s">
        <v>131</v>
      </c>
      <c r="B34" s="23"/>
      <c r="C34" s="23"/>
      <c r="D34" s="23"/>
    </row>
    <row r="35" customFormat="false" ht="15" hidden="false" customHeight="true" outlineLevel="0" collapsed="false">
      <c r="A35" s="11" t="s">
        <v>63</v>
      </c>
      <c r="B35" s="11" t="s">
        <v>64</v>
      </c>
      <c r="C35" s="11" t="s">
        <v>65</v>
      </c>
      <c r="D35" s="11" t="s">
        <v>66</v>
      </c>
    </row>
    <row r="36" customFormat="false" ht="15" hidden="false" customHeight="true" outlineLevel="0" collapsed="false">
      <c r="A36" s="6" t="s">
        <v>132</v>
      </c>
      <c r="B36" s="19" t="n">
        <v>5</v>
      </c>
      <c r="C36" s="6" t="s">
        <v>72</v>
      </c>
      <c r="D36" s="6" t="s">
        <v>133</v>
      </c>
    </row>
    <row r="37" customFormat="false" ht="15" hidden="false" customHeight="true" outlineLevel="0" collapsed="false">
      <c r="A37" s="6" t="s">
        <v>134</v>
      </c>
      <c r="B37" s="19" t="n">
        <v>10</v>
      </c>
      <c r="C37" s="6" t="s">
        <v>72</v>
      </c>
      <c r="D37" s="6" t="s">
        <v>135</v>
      </c>
    </row>
    <row r="38" customFormat="false" ht="15" hidden="false" customHeight="true" outlineLevel="0" collapsed="false">
      <c r="A38" s="6" t="s">
        <v>136</v>
      </c>
      <c r="B38" s="24" t="n">
        <f aca="false">B5-B36-B37</f>
        <v>4.94</v>
      </c>
      <c r="C38" s="6" t="s">
        <v>72</v>
      </c>
      <c r="D38" s="6" t="s">
        <v>137</v>
      </c>
    </row>
    <row r="39" customFormat="false" ht="15" hidden="false" customHeight="true" outlineLevel="0" collapsed="false">
      <c r="A39" s="6" t="s">
        <v>138</v>
      </c>
      <c r="B39" s="24" t="n">
        <f aca="false">B5-B37</f>
        <v>9.94</v>
      </c>
      <c r="C39" s="6" t="s">
        <v>72</v>
      </c>
      <c r="D39" s="6" t="s">
        <v>139</v>
      </c>
    </row>
    <row r="40" customFormat="false" ht="27.75" hidden="false" customHeight="true" outlineLevel="0" collapsed="false">
      <c r="A40" s="6" t="s">
        <v>140</v>
      </c>
      <c r="B40" s="6" t="s">
        <v>39</v>
      </c>
      <c r="C40" s="6" t="s">
        <v>141</v>
      </c>
      <c r="D40" s="6" t="s">
        <v>142</v>
      </c>
    </row>
  </sheetData>
  <mergeCells count="2">
    <mergeCell ref="A1:D1"/>
    <mergeCell ref="A34:D3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8"/>
    <col collapsed="false" customWidth="true" hidden="false" outlineLevel="0" max="4" min="2" style="1" width="16"/>
    <col collapsed="false" customWidth="true" hidden="false" outlineLevel="0" max="5" min="5" style="1" width="44"/>
  </cols>
  <sheetData>
    <row r="1" customFormat="false" ht="15" hidden="false" customHeight="true" outlineLevel="0" collapsed="false">
      <c r="A1" s="25" t="s">
        <v>143</v>
      </c>
      <c r="B1" s="25"/>
      <c r="C1" s="25"/>
      <c r="D1" s="25"/>
      <c r="E1" s="25"/>
      <c r="F1" s="3"/>
      <c r="G1" s="3"/>
      <c r="H1" s="3"/>
      <c r="I1" s="3"/>
      <c r="J1" s="3"/>
      <c r="K1" s="3"/>
      <c r="L1" s="3"/>
      <c r="M1" s="3"/>
      <c r="N1" s="3"/>
      <c r="O1" s="3"/>
      <c r="P1" s="3"/>
      <c r="Q1" s="3"/>
      <c r="R1" s="3"/>
      <c r="S1" s="3"/>
      <c r="T1" s="3"/>
      <c r="U1" s="3"/>
      <c r="V1" s="3"/>
      <c r="W1" s="3"/>
      <c r="X1" s="3"/>
      <c r="Y1" s="3"/>
      <c r="Z1" s="3"/>
    </row>
    <row r="3" customFormat="false" ht="15" hidden="false" customHeight="true" outlineLevel="0" collapsed="false">
      <c r="A3" s="17" t="s">
        <v>2</v>
      </c>
      <c r="B3" s="17" t="s">
        <v>144</v>
      </c>
      <c r="C3" s="17" t="s">
        <v>145</v>
      </c>
      <c r="D3" s="17" t="s">
        <v>146</v>
      </c>
      <c r="E3" s="17" t="s">
        <v>9</v>
      </c>
    </row>
    <row r="4" customFormat="false" ht="15" hidden="false" customHeight="true" outlineLevel="0" collapsed="false">
      <c r="A4" s="6" t="s">
        <v>147</v>
      </c>
      <c r="B4" s="26" t="n">
        <f aca="false">Inputs!$B$8</f>
        <v>10</v>
      </c>
      <c r="C4" s="26" t="n">
        <f aca="false">Inputs!$B$8</f>
        <v>10</v>
      </c>
      <c r="D4" s="26" t="n">
        <f aca="false">Inputs!$B$8</f>
        <v>10</v>
      </c>
      <c r="E4" s="6" t="s">
        <v>148</v>
      </c>
    </row>
    <row r="5" customFormat="false" ht="15" hidden="false" customHeight="true" outlineLevel="0" collapsed="false">
      <c r="A5" s="6" t="s">
        <v>149</v>
      </c>
      <c r="B5" s="26" t="n">
        <f aca="false">B4*43560</f>
        <v>435600</v>
      </c>
      <c r="C5" s="26" t="n">
        <f aca="false">C4*43560</f>
        <v>435600</v>
      </c>
      <c r="D5" s="26" t="n">
        <f aca="false">D4*43560</f>
        <v>435600</v>
      </c>
      <c r="E5" s="6" t="s">
        <v>150</v>
      </c>
    </row>
    <row r="6" customFormat="false" ht="15" hidden="false" customHeight="true" outlineLevel="0" collapsed="false">
      <c r="A6" s="6" t="s">
        <v>151</v>
      </c>
      <c r="B6" s="26" t="n">
        <f aca="false">Inputs!$B$21</f>
        <v>6</v>
      </c>
      <c r="C6" s="26" t="n">
        <f aca="false">Inputs!$B$22</f>
        <v>8</v>
      </c>
      <c r="D6" s="26" t="n">
        <f aca="false">Inputs!$B$23</f>
        <v>10</v>
      </c>
      <c r="E6" s="6" t="s">
        <v>152</v>
      </c>
    </row>
    <row r="7" customFormat="false" ht="15" hidden="false" customHeight="true" outlineLevel="0" collapsed="false">
      <c r="A7" s="6" t="s">
        <v>153</v>
      </c>
      <c r="B7" s="26" t="n">
        <f aca="false">B5*(B6/12)/27</f>
        <v>8066.66666666667</v>
      </c>
      <c r="C7" s="26" t="n">
        <f aca="false">C5*(C6/12)/27</f>
        <v>10755.5555555556</v>
      </c>
      <c r="D7" s="26" t="n">
        <f aca="false">D5*(D6/12)/27</f>
        <v>13444.4444444444</v>
      </c>
      <c r="E7" s="6" t="s">
        <v>154</v>
      </c>
    </row>
    <row r="8" customFormat="false" ht="15" hidden="false" customHeight="true" outlineLevel="0" collapsed="false">
      <c r="A8" s="6" t="s">
        <v>155</v>
      </c>
      <c r="B8" s="26" t="n">
        <f aca="false">B7*Inputs!$B$24</f>
        <v>12100</v>
      </c>
      <c r="C8" s="26" t="n">
        <f aca="false">C7*Inputs!$B$24</f>
        <v>16133.3333333333</v>
      </c>
      <c r="D8" s="26" t="n">
        <f aca="false">D7*Inputs!$B$24</f>
        <v>20166.6666666667</v>
      </c>
      <c r="E8" s="6" t="s">
        <v>156</v>
      </c>
    </row>
    <row r="9" customFormat="false" ht="15" hidden="false" customHeight="true" outlineLevel="0" collapsed="false">
      <c r="A9" s="6" t="s">
        <v>157</v>
      </c>
      <c r="B9" s="26" t="n">
        <f aca="false">Inputs!$B$25</f>
        <v>2693.33333333333</v>
      </c>
      <c r="C9" s="26" t="n">
        <f aca="false">Inputs!$B$25</f>
        <v>2693.33333333333</v>
      </c>
      <c r="D9" s="26" t="n">
        <f aca="false">Inputs!$B$25</f>
        <v>2693.33333333333</v>
      </c>
      <c r="E9" s="6" t="s">
        <v>158</v>
      </c>
    </row>
    <row r="10" customFormat="false" ht="15" hidden="false" customHeight="true" outlineLevel="0" collapsed="false">
      <c r="A10" s="6" t="s">
        <v>159</v>
      </c>
      <c r="B10" s="26" t="n">
        <f aca="false">Inputs!$B$26</f>
        <v>4524</v>
      </c>
      <c r="C10" s="26" t="n">
        <f aca="false">Inputs!$B$26</f>
        <v>4524</v>
      </c>
      <c r="D10" s="26" t="n">
        <f aca="false">Inputs!$B$26</f>
        <v>4524</v>
      </c>
      <c r="E10" s="6" t="s">
        <v>160</v>
      </c>
    </row>
    <row r="11" customFormat="false" ht="15" hidden="false" customHeight="true" outlineLevel="0" collapsed="false">
      <c r="A11" s="6" t="s">
        <v>103</v>
      </c>
      <c r="B11" s="26" t="n">
        <f aca="false">Inputs!$B$19</f>
        <v>180</v>
      </c>
      <c r="C11" s="26" t="n">
        <f aca="false">Inputs!$B$19</f>
        <v>180</v>
      </c>
      <c r="D11" s="26" t="n">
        <f aca="false">Inputs!$B$19</f>
        <v>180</v>
      </c>
      <c r="E11" s="6" t="s">
        <v>161</v>
      </c>
    </row>
    <row r="12" customFormat="false" ht="15" hidden="false" customHeight="true" outlineLevel="0" collapsed="false">
      <c r="A12" s="6" t="s">
        <v>162</v>
      </c>
      <c r="B12" s="26" t="n">
        <f aca="false">B11/B4</f>
        <v>18</v>
      </c>
      <c r="C12" s="26" t="n">
        <f aca="false">C11/C4</f>
        <v>18</v>
      </c>
      <c r="D12" s="26" t="n">
        <f aca="false">D11/D4</f>
        <v>18</v>
      </c>
      <c r="E12" s="6" t="s">
        <v>163</v>
      </c>
    </row>
    <row r="13" customFormat="false" ht="15" hidden="false" customHeight="true" outlineLevel="0" collapsed="false">
      <c r="A13" s="6" t="s">
        <v>164</v>
      </c>
      <c r="B13" s="7" t="n">
        <f aca="false">Inputs!$B$19*Inputs!$B$16*365*Inputs!$B$17</f>
        <v>643860</v>
      </c>
      <c r="C13" s="7" t="n">
        <f aca="false">Inputs!$B$19*Inputs!$B$16*365*Inputs!$B$17</f>
        <v>643860</v>
      </c>
      <c r="D13" s="7" t="n">
        <f aca="false">Inputs!$B$19*Inputs!$B$16*365*Inputs!$B$17</f>
        <v>643860</v>
      </c>
      <c r="E13" s="6" t="s">
        <v>165</v>
      </c>
    </row>
  </sheetData>
  <mergeCells count="1">
    <mergeCell ref="A1:E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2"/>
    <col collapsed="false" customWidth="true" hidden="false" outlineLevel="0" max="2" min="2" style="1" width="34"/>
    <col collapsed="false" customWidth="true" hidden="false" outlineLevel="0" max="3" min="3" style="1" width="24"/>
    <col collapsed="false" customWidth="true" hidden="false" outlineLevel="0" max="4" min="4" style="1" width="10"/>
    <col collapsed="false" customWidth="true" hidden="false" outlineLevel="0" max="6" min="5" style="1" width="14"/>
    <col collapsed="false" customWidth="true" hidden="false" outlineLevel="0" max="7" min="7" style="1" width="16"/>
    <col collapsed="false" customWidth="true" hidden="false" outlineLevel="0" max="8" min="8" style="1" width="14"/>
    <col collapsed="false" customWidth="true" hidden="false" outlineLevel="0" max="9" min="9" style="1" width="16"/>
    <col collapsed="false" customWidth="true" hidden="false" outlineLevel="0" max="10" min="10" style="1" width="44"/>
  </cols>
  <sheetData>
    <row r="1" customFormat="false" ht="15" hidden="false" customHeight="true" outlineLevel="0" collapsed="false">
      <c r="A1" s="25" t="s">
        <v>166</v>
      </c>
      <c r="B1" s="25"/>
      <c r="C1" s="25"/>
      <c r="D1" s="25"/>
      <c r="E1" s="25"/>
      <c r="F1" s="25"/>
      <c r="G1" s="25"/>
      <c r="H1" s="25"/>
      <c r="I1" s="25"/>
      <c r="J1" s="25"/>
      <c r="K1" s="3"/>
      <c r="L1" s="3"/>
      <c r="M1" s="3"/>
      <c r="N1" s="3"/>
      <c r="O1" s="3"/>
      <c r="P1" s="3"/>
      <c r="Q1" s="3"/>
      <c r="R1" s="3"/>
      <c r="S1" s="3"/>
      <c r="T1" s="3"/>
      <c r="U1" s="3"/>
      <c r="V1" s="3"/>
      <c r="W1" s="3"/>
      <c r="X1" s="3"/>
      <c r="Y1" s="3"/>
      <c r="Z1" s="3"/>
    </row>
    <row r="2" customFormat="false" ht="15" hidden="false" customHeight="true" outlineLevel="0" collapsed="false">
      <c r="A2" s="27" t="s">
        <v>167</v>
      </c>
      <c r="B2" s="27"/>
      <c r="C2" s="27"/>
      <c r="D2" s="27"/>
      <c r="E2" s="27"/>
      <c r="F2" s="27"/>
      <c r="G2" s="27"/>
      <c r="H2" s="27"/>
      <c r="I2" s="27"/>
      <c r="J2" s="27"/>
    </row>
    <row r="4" customFormat="false" ht="15" hidden="false" customHeight="true" outlineLevel="0" collapsed="false">
      <c r="A4" s="28" t="s">
        <v>168</v>
      </c>
      <c r="B4" s="28" t="s">
        <v>169</v>
      </c>
      <c r="C4" s="28" t="s">
        <v>170</v>
      </c>
      <c r="D4" s="28" t="s">
        <v>65</v>
      </c>
      <c r="E4" s="28" t="s">
        <v>171</v>
      </c>
      <c r="F4" s="28" t="s">
        <v>172</v>
      </c>
      <c r="G4" s="28" t="s">
        <v>173</v>
      </c>
      <c r="H4" s="28" t="s">
        <v>174</v>
      </c>
      <c r="I4" s="28" t="s">
        <v>175</v>
      </c>
      <c r="J4" s="28" t="s">
        <v>176</v>
      </c>
    </row>
    <row r="5" customFormat="false" ht="27.75" hidden="false" customHeight="true" outlineLevel="0" collapsed="false">
      <c r="A5" s="6" t="s">
        <v>177</v>
      </c>
      <c r="B5" s="6" t="s">
        <v>178</v>
      </c>
      <c r="C5" s="6" t="s">
        <v>179</v>
      </c>
      <c r="D5" s="6" t="s">
        <v>180</v>
      </c>
      <c r="E5" s="29" t="n">
        <f aca="false">Inputs!$B$8</f>
        <v>10</v>
      </c>
      <c r="F5" s="30" t="n">
        <v>30000</v>
      </c>
      <c r="G5" s="7" t="n">
        <f aca="false">E5*F5</f>
        <v>300000</v>
      </c>
      <c r="H5" s="30" t="n">
        <v>30000</v>
      </c>
      <c r="I5" s="7" t="n">
        <f aca="false">E5*H5</f>
        <v>300000</v>
      </c>
      <c r="J5" s="6" t="s">
        <v>181</v>
      </c>
    </row>
    <row r="6" customFormat="false" ht="15" hidden="false" customHeight="true" outlineLevel="0" collapsed="false">
      <c r="A6" s="6" t="s">
        <v>177</v>
      </c>
      <c r="B6" s="6" t="s">
        <v>182</v>
      </c>
      <c r="C6" s="6" t="s">
        <v>183</v>
      </c>
      <c r="D6" s="6" t="s">
        <v>183</v>
      </c>
      <c r="E6" s="6" t="n">
        <v>1</v>
      </c>
      <c r="F6" s="30" t="n">
        <v>30000</v>
      </c>
      <c r="G6" s="7" t="n">
        <f aca="false">E6*F6</f>
        <v>30000</v>
      </c>
      <c r="H6" s="30" t="n">
        <v>45000</v>
      </c>
      <c r="I6" s="7" t="n">
        <f aca="false">E6*H6</f>
        <v>45000</v>
      </c>
      <c r="J6" s="6" t="s">
        <v>184</v>
      </c>
    </row>
    <row r="7" customFormat="false" ht="27.75" hidden="false" customHeight="true" outlineLevel="0" collapsed="false">
      <c r="A7" s="6" t="s">
        <v>177</v>
      </c>
      <c r="B7" s="6" t="s">
        <v>185</v>
      </c>
      <c r="C7" s="6" t="s">
        <v>186</v>
      </c>
      <c r="D7" s="6" t="s">
        <v>180</v>
      </c>
      <c r="E7" s="29" t="n">
        <f aca="false">Inputs!$B$9</f>
        <v>9.94</v>
      </c>
      <c r="F7" s="30" t="n">
        <v>0</v>
      </c>
      <c r="G7" s="7" t="n">
        <f aca="false">E7*F7</f>
        <v>0</v>
      </c>
      <c r="H7" s="30" t="n">
        <v>0</v>
      </c>
      <c r="I7" s="7" t="n">
        <f aca="false">E7*H7</f>
        <v>0</v>
      </c>
      <c r="J7" s="6" t="s">
        <v>187</v>
      </c>
    </row>
    <row r="8" customFormat="false" ht="15" hidden="false" customHeight="true" outlineLevel="0" collapsed="false">
      <c r="A8" s="6" t="s">
        <v>188</v>
      </c>
      <c r="B8" s="6" t="s">
        <v>189</v>
      </c>
      <c r="C8" s="6" t="s">
        <v>183</v>
      </c>
      <c r="D8" s="6" t="s">
        <v>183</v>
      </c>
      <c r="E8" s="6" t="n">
        <v>1</v>
      </c>
      <c r="F8" s="30" t="n">
        <v>18000</v>
      </c>
      <c r="G8" s="7" t="n">
        <f aca="false">E8*F8</f>
        <v>18000</v>
      </c>
      <c r="H8" s="30" t="n">
        <v>25000</v>
      </c>
      <c r="I8" s="7" t="n">
        <f aca="false">E8*H8</f>
        <v>25000</v>
      </c>
      <c r="J8" s="6" t="s">
        <v>190</v>
      </c>
    </row>
    <row r="9" customFormat="false" ht="27.75" hidden="false" customHeight="true" outlineLevel="0" collapsed="false">
      <c r="A9" s="6" t="s">
        <v>188</v>
      </c>
      <c r="B9" s="6" t="s">
        <v>191</v>
      </c>
      <c r="C9" s="6" t="s">
        <v>183</v>
      </c>
      <c r="D9" s="6" t="s">
        <v>183</v>
      </c>
      <c r="E9" s="6" t="n">
        <v>1</v>
      </c>
      <c r="F9" s="30" t="n">
        <v>18000</v>
      </c>
      <c r="G9" s="7" t="n">
        <f aca="false">E9*F9</f>
        <v>18000</v>
      </c>
      <c r="H9" s="30" t="n">
        <v>25000</v>
      </c>
      <c r="I9" s="7" t="n">
        <f aca="false">E9*H9</f>
        <v>25000</v>
      </c>
      <c r="J9" s="6" t="s">
        <v>192</v>
      </c>
    </row>
    <row r="10" customFormat="false" ht="27.75" hidden="false" customHeight="true" outlineLevel="0" collapsed="false">
      <c r="A10" s="6" t="s">
        <v>188</v>
      </c>
      <c r="B10" s="6" t="s">
        <v>193</v>
      </c>
      <c r="C10" s="6" t="s">
        <v>183</v>
      </c>
      <c r="D10" s="6" t="s">
        <v>183</v>
      </c>
      <c r="E10" s="6" t="n">
        <v>1</v>
      </c>
      <c r="F10" s="30" t="n">
        <v>35000</v>
      </c>
      <c r="G10" s="7" t="n">
        <f aca="false">E10*F10</f>
        <v>35000</v>
      </c>
      <c r="H10" s="30" t="n">
        <v>50000</v>
      </c>
      <c r="I10" s="7" t="n">
        <f aca="false">E10*H10</f>
        <v>50000</v>
      </c>
      <c r="J10" s="6" t="s">
        <v>194</v>
      </c>
    </row>
    <row r="11" customFormat="false" ht="15" hidden="false" customHeight="true" outlineLevel="0" collapsed="false">
      <c r="A11" s="6" t="s">
        <v>188</v>
      </c>
      <c r="B11" s="6" t="s">
        <v>195</v>
      </c>
      <c r="C11" s="6" t="s">
        <v>183</v>
      </c>
      <c r="D11" s="6" t="s">
        <v>183</v>
      </c>
      <c r="E11" s="6" t="n">
        <v>1</v>
      </c>
      <c r="F11" s="30" t="n">
        <v>15000</v>
      </c>
      <c r="G11" s="7" t="n">
        <f aca="false">E11*F11</f>
        <v>15000</v>
      </c>
      <c r="H11" s="30" t="n">
        <v>25000</v>
      </c>
      <c r="I11" s="7" t="n">
        <f aca="false">E11*H11</f>
        <v>25000</v>
      </c>
      <c r="J11" s="6" t="s">
        <v>196</v>
      </c>
    </row>
    <row r="12" customFormat="false" ht="15" hidden="false" customHeight="true" outlineLevel="0" collapsed="false">
      <c r="A12" s="6" t="s">
        <v>197</v>
      </c>
      <c r="B12" s="6" t="s">
        <v>198</v>
      </c>
      <c r="C12" s="6" t="s">
        <v>199</v>
      </c>
      <c r="D12" s="6" t="s">
        <v>180</v>
      </c>
      <c r="E12" s="29" t="n">
        <f aca="false">Inputs!$B$8</f>
        <v>10</v>
      </c>
      <c r="F12" s="30" t="n">
        <v>2000</v>
      </c>
      <c r="G12" s="7" t="n">
        <f aca="false">E12*F12</f>
        <v>20000</v>
      </c>
      <c r="H12" s="30" t="n">
        <v>3500</v>
      </c>
      <c r="I12" s="7" t="n">
        <f aca="false">E12*H12</f>
        <v>35000</v>
      </c>
      <c r="J12" s="6" t="s">
        <v>200</v>
      </c>
    </row>
    <row r="13" customFormat="false" ht="15" hidden="false" customHeight="true" outlineLevel="0" collapsed="false">
      <c r="A13" s="6" t="s">
        <v>197</v>
      </c>
      <c r="B13" s="6" t="s">
        <v>201</v>
      </c>
      <c r="C13" s="6" t="s">
        <v>199</v>
      </c>
      <c r="D13" s="6" t="s">
        <v>180</v>
      </c>
      <c r="E13" s="29" t="n">
        <f aca="false">Inputs!$B$8</f>
        <v>10</v>
      </c>
      <c r="F13" s="30" t="n">
        <v>20000</v>
      </c>
      <c r="G13" s="7" t="n">
        <f aca="false">E13*F13</f>
        <v>200000</v>
      </c>
      <c r="H13" s="30" t="n">
        <v>35000</v>
      </c>
      <c r="I13" s="7" t="n">
        <f aca="false">E13*H13</f>
        <v>350000</v>
      </c>
      <c r="J13" s="6" t="s">
        <v>202</v>
      </c>
    </row>
    <row r="14" customFormat="false" ht="15" hidden="false" customHeight="true" outlineLevel="0" collapsed="false">
      <c r="A14" s="6" t="s">
        <v>197</v>
      </c>
      <c r="B14" s="6" t="s">
        <v>203</v>
      </c>
      <c r="C14" s="6" t="s">
        <v>199</v>
      </c>
      <c r="D14" s="6" t="s">
        <v>180</v>
      </c>
      <c r="E14" s="29" t="n">
        <f aca="false">Inputs!$B$8</f>
        <v>10</v>
      </c>
      <c r="F14" s="30" t="n">
        <v>7000</v>
      </c>
      <c r="G14" s="7" t="n">
        <f aca="false">E14*F14</f>
        <v>70000</v>
      </c>
      <c r="H14" s="30" t="n">
        <v>11000</v>
      </c>
      <c r="I14" s="7" t="n">
        <f aca="false">E14*H14</f>
        <v>110000</v>
      </c>
      <c r="J14" s="6" t="s">
        <v>204</v>
      </c>
    </row>
    <row r="15" customFormat="false" ht="15" hidden="false" customHeight="true" outlineLevel="0" collapsed="false">
      <c r="A15" s="6" t="s">
        <v>197</v>
      </c>
      <c r="B15" s="6" t="s">
        <v>205</v>
      </c>
      <c r="C15" s="6" t="s">
        <v>199</v>
      </c>
      <c r="D15" s="6" t="s">
        <v>180</v>
      </c>
      <c r="E15" s="29" t="n">
        <f aca="false">Inputs!$B$8</f>
        <v>10</v>
      </c>
      <c r="F15" s="30" t="n">
        <v>6000</v>
      </c>
      <c r="G15" s="7" t="n">
        <f aca="false">E15*F15</f>
        <v>60000</v>
      </c>
      <c r="H15" s="30" t="n">
        <v>12000</v>
      </c>
      <c r="I15" s="7" t="n">
        <f aca="false">E15*H15</f>
        <v>120000</v>
      </c>
      <c r="J15" s="6" t="s">
        <v>206</v>
      </c>
    </row>
    <row r="16" customFormat="false" ht="27.75" hidden="false" customHeight="true" outlineLevel="0" collapsed="false">
      <c r="A16" s="6" t="s">
        <v>207</v>
      </c>
      <c r="B16" s="6" t="s">
        <v>208</v>
      </c>
      <c r="C16" s="6" t="s">
        <v>209</v>
      </c>
      <c r="D16" s="6" t="s">
        <v>210</v>
      </c>
      <c r="E16" s="26" t="n">
        <f aca="false">Quantities!$C$8</f>
        <v>16133.3333333333</v>
      </c>
      <c r="F16" s="30" t="n">
        <v>26</v>
      </c>
      <c r="G16" s="7" t="n">
        <f aca="false">E16*F16</f>
        <v>419466.666666667</v>
      </c>
      <c r="H16" s="30" t="n">
        <v>42</v>
      </c>
      <c r="I16" s="7" t="n">
        <f aca="false">E16*H16</f>
        <v>677600</v>
      </c>
      <c r="J16" s="6" t="s">
        <v>211</v>
      </c>
    </row>
    <row r="17" customFormat="false" ht="15" hidden="false" customHeight="true" outlineLevel="0" collapsed="false">
      <c r="A17" s="6" t="s">
        <v>207</v>
      </c>
      <c r="B17" s="6" t="s">
        <v>212</v>
      </c>
      <c r="C17" s="6" t="s">
        <v>209</v>
      </c>
      <c r="D17" s="6" t="s">
        <v>210</v>
      </c>
      <c r="E17" s="26" t="n">
        <f aca="false">Quantities!$C$8</f>
        <v>16133.3333333333</v>
      </c>
      <c r="F17" s="30" t="n">
        <v>7</v>
      </c>
      <c r="G17" s="7" t="n">
        <f aca="false">E17*F17</f>
        <v>112933.333333333</v>
      </c>
      <c r="H17" s="30" t="n">
        <v>12</v>
      </c>
      <c r="I17" s="7" t="n">
        <f aca="false">E17*H17</f>
        <v>193600</v>
      </c>
      <c r="J17" s="6" t="s">
        <v>213</v>
      </c>
    </row>
    <row r="18" customFormat="false" ht="15" hidden="false" customHeight="true" outlineLevel="0" collapsed="false">
      <c r="A18" s="6" t="s">
        <v>207</v>
      </c>
      <c r="B18" s="6" t="s">
        <v>214</v>
      </c>
      <c r="C18" s="6" t="s">
        <v>215</v>
      </c>
      <c r="D18" s="6" t="s">
        <v>216</v>
      </c>
      <c r="E18" s="26" t="n">
        <f aca="false">Quantities!$C$5</f>
        <v>435600</v>
      </c>
      <c r="F18" s="30" t="n">
        <v>0.25</v>
      </c>
      <c r="G18" s="7" t="n">
        <f aca="false">E18*F18</f>
        <v>108900</v>
      </c>
      <c r="H18" s="30" t="n">
        <v>0.55</v>
      </c>
      <c r="I18" s="7" t="n">
        <f aca="false">E18*H18</f>
        <v>239580</v>
      </c>
      <c r="J18" s="6" t="s">
        <v>217</v>
      </c>
    </row>
    <row r="19" customFormat="false" ht="15" hidden="false" customHeight="true" outlineLevel="0" collapsed="false">
      <c r="A19" s="6" t="s">
        <v>207</v>
      </c>
      <c r="B19" s="6" t="s">
        <v>218</v>
      </c>
      <c r="C19" s="6" t="s">
        <v>215</v>
      </c>
      <c r="D19" s="6" t="s">
        <v>216</v>
      </c>
      <c r="E19" s="26" t="n">
        <f aca="false">Quantities!$C$5</f>
        <v>435600</v>
      </c>
      <c r="F19" s="30" t="n">
        <v>0.2</v>
      </c>
      <c r="G19" s="7" t="n">
        <f aca="false">E19*F19</f>
        <v>87120</v>
      </c>
      <c r="H19" s="30" t="n">
        <v>0.5</v>
      </c>
      <c r="I19" s="7" t="n">
        <f aca="false">E19*H19</f>
        <v>217800</v>
      </c>
      <c r="J19" s="6" t="s">
        <v>219</v>
      </c>
    </row>
    <row r="20" customFormat="false" ht="15" hidden="false" customHeight="true" outlineLevel="0" collapsed="false">
      <c r="A20" s="6" t="s">
        <v>220</v>
      </c>
      <c r="B20" s="6" t="s">
        <v>221</v>
      </c>
      <c r="C20" s="6" t="s">
        <v>183</v>
      </c>
      <c r="D20" s="6" t="s">
        <v>183</v>
      </c>
      <c r="E20" s="6" t="n">
        <v>1</v>
      </c>
      <c r="F20" s="30" t="n">
        <v>100000</v>
      </c>
      <c r="G20" s="7" t="n">
        <f aca="false">E20*F20</f>
        <v>100000</v>
      </c>
      <c r="H20" s="30" t="n">
        <v>160000</v>
      </c>
      <c r="I20" s="7" t="n">
        <f aca="false">E20*H20</f>
        <v>160000</v>
      </c>
      <c r="J20" s="6" t="s">
        <v>222</v>
      </c>
    </row>
    <row r="21" customFormat="false" ht="15" hidden="false" customHeight="true" outlineLevel="0" collapsed="false">
      <c r="A21" s="6" t="s">
        <v>223</v>
      </c>
      <c r="B21" s="6" t="s">
        <v>224</v>
      </c>
      <c r="C21" s="6" t="s">
        <v>183</v>
      </c>
      <c r="D21" s="6" t="s">
        <v>183</v>
      </c>
      <c r="E21" s="6" t="n">
        <v>1</v>
      </c>
      <c r="F21" s="30" t="n">
        <v>75000</v>
      </c>
      <c r="G21" s="7" t="n">
        <f aca="false">E21*F21</f>
        <v>75000</v>
      </c>
      <c r="H21" s="30" t="n">
        <v>120000</v>
      </c>
      <c r="I21" s="7" t="n">
        <f aca="false">E21*H21</f>
        <v>120000</v>
      </c>
      <c r="J21" s="6" t="s">
        <v>225</v>
      </c>
    </row>
    <row r="22" customFormat="false" ht="15" hidden="false" customHeight="true" outlineLevel="0" collapsed="false">
      <c r="A22" s="6" t="s">
        <v>226</v>
      </c>
      <c r="B22" s="6" t="s">
        <v>227</v>
      </c>
      <c r="C22" s="6" t="s">
        <v>228</v>
      </c>
      <c r="D22" s="6" t="s">
        <v>118</v>
      </c>
      <c r="E22" s="26" t="n">
        <f aca="false">Quantities!$C$9</f>
        <v>2693.33333333333</v>
      </c>
      <c r="F22" s="30" t="n">
        <v>30</v>
      </c>
      <c r="G22" s="7" t="n">
        <f aca="false">E22*F22</f>
        <v>80800</v>
      </c>
      <c r="H22" s="30" t="n">
        <v>48</v>
      </c>
      <c r="I22" s="7" t="n">
        <f aca="false">E22*H22</f>
        <v>129280</v>
      </c>
      <c r="J22" s="6" t="s">
        <v>229</v>
      </c>
    </row>
    <row r="23" customFormat="false" ht="15" hidden="false" customHeight="true" outlineLevel="0" collapsed="false">
      <c r="A23" s="6" t="s">
        <v>226</v>
      </c>
      <c r="B23" s="6" t="s">
        <v>230</v>
      </c>
      <c r="C23" s="6" t="s">
        <v>183</v>
      </c>
      <c r="D23" s="6" t="s">
        <v>183</v>
      </c>
      <c r="E23" s="6" t="n">
        <v>1</v>
      </c>
      <c r="F23" s="30" t="n">
        <v>55000</v>
      </c>
      <c r="G23" s="7" t="n">
        <f aca="false">E23*F23</f>
        <v>55000</v>
      </c>
      <c r="H23" s="30" t="n">
        <v>85000</v>
      </c>
      <c r="I23" s="7" t="n">
        <f aca="false">E23*H23</f>
        <v>85000</v>
      </c>
      <c r="J23" s="6" t="s">
        <v>231</v>
      </c>
    </row>
    <row r="24" customFormat="false" ht="15" hidden="false" customHeight="true" outlineLevel="0" collapsed="false">
      <c r="A24" s="6" t="s">
        <v>226</v>
      </c>
      <c r="B24" s="6" t="s">
        <v>232</v>
      </c>
      <c r="C24" s="6" t="s">
        <v>183</v>
      </c>
      <c r="D24" s="6" t="s">
        <v>183</v>
      </c>
      <c r="E24" s="6" t="n">
        <v>1</v>
      </c>
      <c r="F24" s="30" t="n">
        <v>40000</v>
      </c>
      <c r="G24" s="7" t="n">
        <f aca="false">E24*F24</f>
        <v>40000</v>
      </c>
      <c r="H24" s="30" t="n">
        <v>65000</v>
      </c>
      <c r="I24" s="7" t="n">
        <f aca="false">E24*H24</f>
        <v>65000</v>
      </c>
      <c r="J24" s="6" t="s">
        <v>233</v>
      </c>
    </row>
    <row r="25" customFormat="false" ht="15" hidden="false" customHeight="true" outlineLevel="0" collapsed="false">
      <c r="A25" s="6" t="s">
        <v>234</v>
      </c>
      <c r="B25" s="6" t="s">
        <v>235</v>
      </c>
      <c r="C25" s="6" t="s">
        <v>236</v>
      </c>
      <c r="D25" s="6" t="s">
        <v>237</v>
      </c>
      <c r="E25" s="6" t="n">
        <v>14</v>
      </c>
      <c r="F25" s="30" t="n">
        <v>6000</v>
      </c>
      <c r="G25" s="7" t="n">
        <f aca="false">E25*F25</f>
        <v>84000</v>
      </c>
      <c r="H25" s="30" t="n">
        <v>9500</v>
      </c>
      <c r="I25" s="7" t="n">
        <f aca="false">E25*H25</f>
        <v>133000</v>
      </c>
      <c r="J25" s="6" t="s">
        <v>238</v>
      </c>
    </row>
    <row r="26" customFormat="false" ht="15" hidden="false" customHeight="true" outlineLevel="0" collapsed="false">
      <c r="A26" s="6" t="s">
        <v>239</v>
      </c>
      <c r="B26" s="6" t="s">
        <v>240</v>
      </c>
      <c r="C26" s="6" t="s">
        <v>183</v>
      </c>
      <c r="D26" s="6" t="s">
        <v>183</v>
      </c>
      <c r="E26" s="6" t="n">
        <v>1</v>
      </c>
      <c r="F26" s="30" t="n">
        <v>40000</v>
      </c>
      <c r="G26" s="7" t="n">
        <f aca="false">E26*F26</f>
        <v>40000</v>
      </c>
      <c r="H26" s="30" t="n">
        <v>65000</v>
      </c>
      <c r="I26" s="7" t="n">
        <f aca="false">E26*H26</f>
        <v>65000</v>
      </c>
      <c r="J26" s="6" t="s">
        <v>241</v>
      </c>
    </row>
    <row r="27" customFormat="false" ht="15" hidden="false" customHeight="true" outlineLevel="0" collapsed="false">
      <c r="A27" s="6" t="s">
        <v>239</v>
      </c>
      <c r="B27" s="6" t="s">
        <v>242</v>
      </c>
      <c r="C27" s="6" t="s">
        <v>183</v>
      </c>
      <c r="D27" s="6" t="s">
        <v>183</v>
      </c>
      <c r="E27" s="6" t="n">
        <v>1</v>
      </c>
      <c r="F27" s="30" t="n">
        <v>60000</v>
      </c>
      <c r="G27" s="7" t="n">
        <f aca="false">E27*F27</f>
        <v>60000</v>
      </c>
      <c r="H27" s="30" t="n">
        <v>95000</v>
      </c>
      <c r="I27" s="7" t="n">
        <f aca="false">E27*H27</f>
        <v>95000</v>
      </c>
      <c r="J27" s="6" t="s">
        <v>243</v>
      </c>
    </row>
    <row r="28" customFormat="false" ht="15" hidden="false" customHeight="true" outlineLevel="0" collapsed="false">
      <c r="A28" s="6" t="s">
        <v>244</v>
      </c>
      <c r="B28" s="6" t="s">
        <v>245</v>
      </c>
      <c r="C28" s="6" t="s">
        <v>183</v>
      </c>
      <c r="D28" s="6" t="s">
        <v>183</v>
      </c>
      <c r="E28" s="6" t="n">
        <v>1</v>
      </c>
      <c r="F28" s="30" t="n">
        <v>35000</v>
      </c>
      <c r="G28" s="7" t="n">
        <f aca="false">E28*F28</f>
        <v>35000</v>
      </c>
      <c r="H28" s="30" t="n">
        <v>55000</v>
      </c>
      <c r="I28" s="7" t="n">
        <f aca="false">E28*H28</f>
        <v>55000</v>
      </c>
      <c r="J28" s="6" t="s">
        <v>246</v>
      </c>
    </row>
    <row r="29" customFormat="false" ht="27.75" hidden="false" customHeight="true" outlineLevel="0" collapsed="false">
      <c r="A29" s="6" t="s">
        <v>244</v>
      </c>
      <c r="B29" s="6" t="s">
        <v>247</v>
      </c>
      <c r="C29" s="6" t="s">
        <v>183</v>
      </c>
      <c r="D29" s="6" t="s">
        <v>183</v>
      </c>
      <c r="E29" s="6" t="n">
        <v>1</v>
      </c>
      <c r="F29" s="30" t="n">
        <v>65000</v>
      </c>
      <c r="G29" s="7" t="n">
        <f aca="false">E29*F29</f>
        <v>65000</v>
      </c>
      <c r="H29" s="30" t="n">
        <v>95000</v>
      </c>
      <c r="I29" s="7" t="n">
        <f aca="false">E29*H29</f>
        <v>95000</v>
      </c>
      <c r="J29" s="6" t="s">
        <v>248</v>
      </c>
    </row>
    <row r="30" customFormat="false" ht="15" hidden="false" customHeight="true" outlineLevel="0" collapsed="false">
      <c r="A30" s="6" t="s">
        <v>244</v>
      </c>
      <c r="B30" s="6" t="s">
        <v>249</v>
      </c>
      <c r="C30" s="6" t="s">
        <v>183</v>
      </c>
      <c r="D30" s="6" t="s">
        <v>183</v>
      </c>
      <c r="E30" s="6" t="n">
        <v>1</v>
      </c>
      <c r="F30" s="30" t="n">
        <v>20000</v>
      </c>
      <c r="G30" s="7" t="n">
        <f aca="false">E30*F30</f>
        <v>20000</v>
      </c>
      <c r="H30" s="30" t="n">
        <v>35000</v>
      </c>
      <c r="I30" s="7" t="n">
        <f aca="false">E30*H30</f>
        <v>35000</v>
      </c>
      <c r="J30" s="6" t="s">
        <v>250</v>
      </c>
    </row>
    <row r="31" customFormat="false" ht="27.75" hidden="false" customHeight="true" outlineLevel="0" collapsed="false">
      <c r="A31" s="6" t="s">
        <v>244</v>
      </c>
      <c r="B31" s="6" t="s">
        <v>251</v>
      </c>
      <c r="C31" s="6" t="s">
        <v>183</v>
      </c>
      <c r="D31" s="6" t="s">
        <v>183</v>
      </c>
      <c r="E31" s="6" t="n">
        <v>1</v>
      </c>
      <c r="F31" s="30" t="n">
        <v>10000</v>
      </c>
      <c r="G31" s="7" t="n">
        <f aca="false">E31*F31</f>
        <v>10000</v>
      </c>
      <c r="H31" s="30" t="n">
        <v>18000</v>
      </c>
      <c r="I31" s="7" t="n">
        <f aca="false">E31*H31</f>
        <v>18000</v>
      </c>
      <c r="J31" s="6" t="s">
        <v>252</v>
      </c>
    </row>
    <row r="32" customFormat="false" ht="15" hidden="false" customHeight="true" outlineLevel="0" collapsed="false">
      <c r="A32" s="6" t="s">
        <v>253</v>
      </c>
      <c r="B32" s="6" t="s">
        <v>254</v>
      </c>
      <c r="C32" s="6" t="s">
        <v>183</v>
      </c>
      <c r="D32" s="6" t="s">
        <v>183</v>
      </c>
      <c r="E32" s="6" t="n">
        <v>1</v>
      </c>
      <c r="F32" s="30" t="n">
        <v>25000</v>
      </c>
      <c r="G32" s="7" t="n">
        <f aca="false">E32*F32</f>
        <v>25000</v>
      </c>
      <c r="H32" s="30" t="n">
        <v>45000</v>
      </c>
      <c r="I32" s="7" t="n">
        <f aca="false">E32*H32</f>
        <v>45000</v>
      </c>
      <c r="J32" s="6" t="s">
        <v>255</v>
      </c>
    </row>
    <row r="33" customFormat="false" ht="15" hidden="false" customHeight="true" outlineLevel="0" collapsed="false">
      <c r="A33" s="6"/>
      <c r="B33" s="6"/>
      <c r="C33" s="6"/>
      <c r="D33" s="6"/>
      <c r="E33" s="6"/>
      <c r="F33" s="6"/>
      <c r="G33" s="7"/>
      <c r="H33" s="6"/>
      <c r="I33" s="7"/>
      <c r="J33" s="6"/>
    </row>
    <row r="34" customFormat="false" ht="27.75" hidden="false" customHeight="true" outlineLevel="0" collapsed="false">
      <c r="A34" s="31" t="s">
        <v>256</v>
      </c>
      <c r="B34" s="31"/>
      <c r="C34" s="31"/>
      <c r="D34" s="31"/>
      <c r="E34" s="31"/>
      <c r="F34" s="31"/>
      <c r="G34" s="32" t="n">
        <f aca="false">SUM(G5:G32)</f>
        <v>2184220</v>
      </c>
      <c r="H34" s="31"/>
      <c r="I34" s="32" t="n">
        <f aca="false">SUM(I5:I32)</f>
        <v>3513860</v>
      </c>
      <c r="J34" s="31"/>
    </row>
    <row r="35" customFormat="false" ht="41.25" hidden="false" customHeight="true" outlineLevel="0" collapsed="false">
      <c r="A35" s="31" t="s">
        <v>257</v>
      </c>
      <c r="B35" s="31"/>
      <c r="C35" s="31"/>
      <c r="D35" s="31"/>
      <c r="E35" s="31"/>
      <c r="F35" s="31"/>
      <c r="G35" s="32" t="n">
        <f aca="false">G34*Inputs!$B$27</f>
        <v>131053.2</v>
      </c>
      <c r="H35" s="31"/>
      <c r="I35" s="32"/>
      <c r="J35" s="31"/>
    </row>
    <row r="36" customFormat="false" ht="15" hidden="false" customHeight="true" outlineLevel="0" collapsed="false">
      <c r="A36" s="31" t="s">
        <v>258</v>
      </c>
      <c r="B36" s="31"/>
      <c r="C36" s="31"/>
      <c r="D36" s="31"/>
      <c r="E36" s="31"/>
      <c r="F36" s="31"/>
      <c r="G36" s="32"/>
      <c r="H36" s="31"/>
      <c r="I36" s="32" t="n">
        <f aca="false">I34*Inputs!$B$28</f>
        <v>527079</v>
      </c>
      <c r="J36" s="31"/>
    </row>
    <row r="37" customFormat="false" ht="15" hidden="false" customHeight="true" outlineLevel="0" collapsed="false">
      <c r="A37" s="31" t="s">
        <v>259</v>
      </c>
      <c r="B37" s="31"/>
      <c r="C37" s="31"/>
      <c r="D37" s="31"/>
      <c r="E37" s="31"/>
      <c r="F37" s="31"/>
      <c r="G37" s="32" t="n">
        <f aca="false">(G34+G35)*Inputs!$B$29</f>
        <v>347290.98</v>
      </c>
      <c r="H37" s="31"/>
      <c r="I37" s="32" t="n">
        <f aca="false">(I34+I36)*Inputs!$B$30</f>
        <v>808187.8</v>
      </c>
      <c r="J37" s="31"/>
    </row>
    <row r="38" customFormat="false" ht="15" hidden="false" customHeight="true" outlineLevel="0" collapsed="false">
      <c r="A38" s="33" t="s">
        <v>10</v>
      </c>
      <c r="B38" s="33"/>
      <c r="C38" s="33"/>
      <c r="D38" s="33"/>
      <c r="E38" s="33"/>
      <c r="F38" s="33"/>
      <c r="G38" s="34" t="n">
        <f aca="false">SUM(G34:G37)</f>
        <v>2662564.18</v>
      </c>
      <c r="H38" s="33"/>
      <c r="I38" s="34" t="n">
        <f aca="false">SUM(I34:I37)</f>
        <v>4849126.8</v>
      </c>
      <c r="J38" s="33"/>
    </row>
  </sheetData>
  <mergeCells count="2">
    <mergeCell ref="A1:J1"/>
    <mergeCell ref="A2:J2"/>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0"/>
    <col collapsed="false" customWidth="true" hidden="false" outlineLevel="0" max="6" min="2" style="1" width="18"/>
  </cols>
  <sheetData>
    <row r="1" customFormat="false" ht="15" hidden="false" customHeight="true" outlineLevel="0" collapsed="false">
      <c r="A1" s="15" t="s">
        <v>260</v>
      </c>
      <c r="B1" s="15"/>
      <c r="C1" s="15"/>
      <c r="D1" s="15"/>
      <c r="E1" s="15"/>
      <c r="F1" s="15"/>
      <c r="G1" s="16"/>
      <c r="H1" s="16"/>
      <c r="I1" s="3"/>
      <c r="J1" s="3"/>
      <c r="K1" s="3"/>
      <c r="L1" s="3"/>
      <c r="M1" s="3"/>
      <c r="N1" s="3"/>
      <c r="O1" s="3"/>
      <c r="P1" s="3"/>
      <c r="Q1" s="3"/>
      <c r="R1" s="3"/>
      <c r="S1" s="3"/>
      <c r="T1" s="3"/>
      <c r="U1" s="3"/>
      <c r="V1" s="3"/>
      <c r="W1" s="3"/>
      <c r="X1" s="3"/>
      <c r="Y1" s="3"/>
      <c r="Z1" s="3"/>
    </row>
    <row r="3" customFormat="false" ht="15" hidden="false" customHeight="true" outlineLevel="0" collapsed="false">
      <c r="A3" s="17" t="s">
        <v>2</v>
      </c>
      <c r="B3" s="17" t="s">
        <v>261</v>
      </c>
      <c r="C3" s="17" t="s">
        <v>262</v>
      </c>
      <c r="D3" s="17" t="s">
        <v>263</v>
      </c>
      <c r="E3" s="17" t="s">
        <v>264</v>
      </c>
      <c r="F3" s="17" t="s">
        <v>265</v>
      </c>
    </row>
    <row r="4" customFormat="false" ht="15" hidden="false" customHeight="true" outlineLevel="0" collapsed="false">
      <c r="A4" s="6" t="s">
        <v>266</v>
      </c>
      <c r="B4" s="6" t="n">
        <v>180</v>
      </c>
      <c r="C4" s="6" t="n">
        <v>180</v>
      </c>
      <c r="D4" s="6" t="n">
        <v>180</v>
      </c>
      <c r="E4" s="6"/>
      <c r="F4" s="6"/>
    </row>
    <row r="5" customFormat="false" ht="15" hidden="false" customHeight="true" outlineLevel="0" collapsed="false">
      <c r="A5" s="6" t="s">
        <v>267</v>
      </c>
      <c r="B5" s="35" t="n">
        <v>12</v>
      </c>
      <c r="C5" s="35" t="n">
        <v>14</v>
      </c>
      <c r="D5" s="35" t="n">
        <v>15</v>
      </c>
      <c r="E5" s="6"/>
      <c r="F5" s="6"/>
    </row>
    <row r="6" customFormat="false" ht="15" hidden="false" customHeight="true" outlineLevel="0" collapsed="false">
      <c r="A6" s="6" t="s">
        <v>268</v>
      </c>
      <c r="B6" s="20" t="n">
        <v>0.7</v>
      </c>
      <c r="C6" s="20" t="n">
        <v>0.7</v>
      </c>
      <c r="D6" s="20" t="n">
        <v>0.7</v>
      </c>
      <c r="E6" s="6"/>
      <c r="F6" s="6"/>
    </row>
    <row r="7" customFormat="false" ht="15" hidden="false" customHeight="true" outlineLevel="0" collapsed="false">
      <c r="A7" s="6" t="s">
        <v>269</v>
      </c>
      <c r="B7" s="7" t="n">
        <f aca="false">B4*B5*365*B6</f>
        <v>551880</v>
      </c>
      <c r="C7" s="7" t="n">
        <f aca="false">C4*C5*365*C6</f>
        <v>643860</v>
      </c>
      <c r="D7" s="7" t="n">
        <f aca="false">D4*D5*365*D6</f>
        <v>689850</v>
      </c>
      <c r="E7" s="7"/>
      <c r="F7" s="7"/>
    </row>
    <row r="8" customFormat="false" ht="15" hidden="false" customHeight="true" outlineLevel="0" collapsed="false">
      <c r="A8" s="6" t="s">
        <v>270</v>
      </c>
      <c r="B8" s="20" t="n">
        <v>0.3</v>
      </c>
      <c r="C8" s="20" t="n">
        <v>0.3</v>
      </c>
      <c r="D8" s="20" t="n">
        <v>0.3</v>
      </c>
      <c r="E8" s="7"/>
      <c r="F8" s="7"/>
    </row>
    <row r="9" customFormat="false" ht="15" hidden="false" customHeight="true" outlineLevel="0" collapsed="false">
      <c r="A9" s="6" t="s">
        <v>271</v>
      </c>
      <c r="B9" s="7" t="n">
        <f aca="false">B7*B8</f>
        <v>165564</v>
      </c>
      <c r="C9" s="7" t="n">
        <f aca="false">C7*C8</f>
        <v>193158</v>
      </c>
      <c r="D9" s="7" t="n">
        <f aca="false">D7*D8</f>
        <v>206955</v>
      </c>
      <c r="E9" s="7"/>
      <c r="F9" s="7"/>
    </row>
    <row r="10" customFormat="false" ht="15" hidden="false" customHeight="true" outlineLevel="0" collapsed="false">
      <c r="A10" s="6" t="s">
        <v>272</v>
      </c>
      <c r="B10" s="7" t="n">
        <f aca="false">B7-B9</f>
        <v>386316</v>
      </c>
      <c r="C10" s="7" t="n">
        <f aca="false">C7-C9</f>
        <v>450702</v>
      </c>
      <c r="D10" s="7" t="n">
        <f aca="false">D7-D9</f>
        <v>482895</v>
      </c>
      <c r="E10" s="7"/>
      <c r="F10" s="7"/>
    </row>
    <row r="11" customFormat="false" ht="15" hidden="false" customHeight="true" outlineLevel="0" collapsed="false">
      <c r="A11" s="6" t="s">
        <v>273</v>
      </c>
      <c r="B11" s="8" t="n">
        <f aca="false">Inputs!$B$15</f>
        <v>0.12</v>
      </c>
      <c r="C11" s="8" t="n">
        <f aca="false">Inputs!$B$15</f>
        <v>0.12</v>
      </c>
      <c r="D11" s="8" t="n">
        <f aca="false">Inputs!$B$15</f>
        <v>0.12</v>
      </c>
      <c r="E11" s="8"/>
      <c r="F11" s="8"/>
    </row>
    <row r="12" customFormat="false" ht="15" hidden="false" customHeight="true" outlineLevel="0" collapsed="false">
      <c r="A12" s="6" t="s">
        <v>274</v>
      </c>
      <c r="B12" s="7" t="n">
        <f aca="false">B10/B11</f>
        <v>3219300</v>
      </c>
      <c r="C12" s="7" t="n">
        <f aca="false">C10/C11</f>
        <v>3755850</v>
      </c>
      <c r="D12" s="7" t="n">
        <f aca="false">D10/D11</f>
        <v>4024125</v>
      </c>
      <c r="E12" s="8"/>
      <c r="F12" s="8"/>
    </row>
    <row r="13" customFormat="false" ht="15" hidden="false" customHeight="true" outlineLevel="0" collapsed="false">
      <c r="A13" s="6" t="s">
        <v>275</v>
      </c>
      <c r="B13" s="8"/>
      <c r="C13" s="8"/>
      <c r="D13" s="8"/>
      <c r="E13" s="7" t="n">
        <f aca="false">Budget_Compare!G38+Land_Value!B20*Inputs!B20</f>
        <v>2795450.18</v>
      </c>
      <c r="F13" s="7" t="n">
        <f aca="false">Budget_Compare!I38</f>
        <v>4849126.8</v>
      </c>
    </row>
    <row r="14" customFormat="false" ht="15" hidden="false" customHeight="true" outlineLevel="0" collapsed="false">
      <c r="A14" s="6" t="s">
        <v>276</v>
      </c>
      <c r="B14" s="8"/>
      <c r="C14" s="8"/>
      <c r="D14" s="8"/>
      <c r="E14" s="8" t="n">
        <f aca="false">C10/E13</f>
        <v>0.161226983483569</v>
      </c>
      <c r="F14" s="8" t="n">
        <f aca="false">C10/F13</f>
        <v>0.0929449813521065</v>
      </c>
    </row>
    <row r="15" customFormat="false" ht="15" hidden="false" customHeight="true" outlineLevel="0" collapsed="false">
      <c r="A15" s="6" t="s">
        <v>277</v>
      </c>
      <c r="B15" s="8"/>
      <c r="C15" s="8"/>
      <c r="D15" s="8"/>
      <c r="E15" s="8" t="str">
        <f aca="false">IF(E14&gt;=Inputs!$B$15,"YES","NO")</f>
        <v>YES</v>
      </c>
      <c r="F15" s="8" t="str">
        <f aca="false">IF(F14&gt;=Inputs!$B$15,"YES","NO")</f>
        <v>NO</v>
      </c>
    </row>
    <row r="16" customFormat="false" ht="15" hidden="false" customHeight="true" outlineLevel="0" collapsed="false">
      <c r="A16" s="6" t="s">
        <v>278</v>
      </c>
      <c r="B16" s="7" t="n">
        <f aca="false">B10/Inputs!$B$31*(1-Inputs!$B$32)</f>
        <v>4120704</v>
      </c>
      <c r="C16" s="7" t="n">
        <f aca="false">C10/Inputs!$B$31*(1-Inputs!$B$32)</f>
        <v>4807488</v>
      </c>
      <c r="D16" s="7" t="n">
        <f aca="false">D10/Inputs!$B$31*(1-Inputs!$B$32)</f>
        <v>5150880</v>
      </c>
      <c r="E16" s="7" t="n">
        <f aca="false">C10/Inputs!$B$31*(1-Inputs!$B$32)</f>
        <v>4807488</v>
      </c>
      <c r="F16" s="7" t="n">
        <f aca="false">C10/Inputs!$B$31*(1-Inputs!$B$32)</f>
        <v>4807488</v>
      </c>
    </row>
    <row r="17" customFormat="false" ht="15" hidden="false" customHeight="true" outlineLevel="0" collapsed="false">
      <c r="A17" s="6" t="s">
        <v>279</v>
      </c>
      <c r="B17" s="7"/>
      <c r="C17" s="7"/>
      <c r="D17" s="7"/>
      <c r="E17" s="7" t="n">
        <f aca="false">E16-E13</f>
        <v>2012037.82</v>
      </c>
      <c r="F17" s="7" t="n">
        <f aca="false">F16-F13</f>
        <v>-41638.7999999998</v>
      </c>
    </row>
    <row r="18" customFormat="false" ht="15" hidden="false" customHeight="true" outlineLevel="0" collapsed="false">
      <c r="A18" s="6" t="s">
        <v>280</v>
      </c>
      <c r="B18" s="6"/>
      <c r="C18" s="6"/>
      <c r="D18" s="6"/>
      <c r="E18" s="8" t="n">
        <f aca="false">E17/E13</f>
        <v>0.719754490491403</v>
      </c>
      <c r="F18" s="8" t="n">
        <f aca="false">F17/F13</f>
        <v>-0.00858686557753033</v>
      </c>
    </row>
    <row r="21" customFormat="false" ht="15" hidden="false" customHeight="true" outlineLevel="0" collapsed="false">
      <c r="A21" s="9" t="s">
        <v>281</v>
      </c>
      <c r="B21" s="9"/>
      <c r="C21" s="9"/>
      <c r="D21" s="9"/>
      <c r="E21" s="9"/>
      <c r="F21" s="9"/>
    </row>
    <row r="22" customFormat="false" ht="135.75" hidden="false" customHeight="true" outlineLevel="0" collapsed="false">
      <c r="A22" s="14" t="s">
        <v>282</v>
      </c>
      <c r="B22" s="6" t="s">
        <v>283</v>
      </c>
      <c r="C22" s="6"/>
      <c r="D22" s="6"/>
      <c r="E22" s="6"/>
      <c r="F22" s="6"/>
    </row>
    <row r="23" customFormat="false" ht="122.25" hidden="false" customHeight="true" outlineLevel="0" collapsed="false">
      <c r="A23" s="14" t="s">
        <v>284</v>
      </c>
      <c r="B23" s="6" t="s">
        <v>285</v>
      </c>
      <c r="C23" s="6"/>
      <c r="D23" s="6"/>
      <c r="E23" s="6"/>
      <c r="F23" s="6"/>
    </row>
    <row r="24" customFormat="false" ht="122.25" hidden="false" customHeight="true" outlineLevel="0" collapsed="false">
      <c r="A24" s="14" t="s">
        <v>286</v>
      </c>
      <c r="B24" s="6" t="s">
        <v>287</v>
      </c>
      <c r="C24" s="6"/>
      <c r="D24" s="6"/>
      <c r="E24" s="6"/>
      <c r="F24" s="6"/>
    </row>
    <row r="25" customFormat="false" ht="108.75" hidden="false" customHeight="true" outlineLevel="0" collapsed="false">
      <c r="A25" s="14" t="s">
        <v>288</v>
      </c>
      <c r="B25" s="6" t="s">
        <v>289</v>
      </c>
      <c r="C25" s="6"/>
      <c r="D25" s="6"/>
      <c r="E25" s="6"/>
      <c r="F25" s="6"/>
    </row>
    <row r="27" customFormat="false" ht="15" hidden="false" customHeight="true" outlineLevel="0" collapsed="false">
      <c r="A27" s="23" t="s">
        <v>290</v>
      </c>
      <c r="B27" s="23"/>
      <c r="C27" s="23"/>
      <c r="D27" s="23"/>
      <c r="E27" s="23"/>
      <c r="F27" s="23"/>
    </row>
    <row r="28" customFormat="false" ht="15" hidden="false" customHeight="true" outlineLevel="0" collapsed="false">
      <c r="A28" s="11"/>
      <c r="B28" s="11"/>
      <c r="C28" s="11"/>
      <c r="D28" s="11"/>
      <c r="E28" s="11"/>
      <c r="F28" s="11" t="s">
        <v>35</v>
      </c>
    </row>
    <row r="29" customFormat="false" ht="27.75" hidden="false" customHeight="true" outlineLevel="0" collapsed="false">
      <c r="A29" s="6"/>
      <c r="B29" s="29"/>
      <c r="C29" s="29"/>
      <c r="D29" s="29"/>
      <c r="E29" s="6"/>
      <c r="F29" s="6" t="s">
        <v>39</v>
      </c>
    </row>
    <row r="30" customFormat="false" ht="41.25" hidden="false" customHeight="true" outlineLevel="0" collapsed="false">
      <c r="A30" s="6"/>
      <c r="B30" s="7"/>
      <c r="C30" s="7"/>
      <c r="D30" s="7"/>
      <c r="E30" s="6"/>
      <c r="F30" s="6" t="s">
        <v>39</v>
      </c>
    </row>
    <row r="31" customFormat="false" ht="41.25" hidden="false" customHeight="true" outlineLevel="0" collapsed="false">
      <c r="A31" s="6"/>
      <c r="B31" s="7"/>
      <c r="C31" s="7"/>
      <c r="D31" s="7"/>
      <c r="E31" s="6"/>
      <c r="F31" s="6" t="s">
        <v>39</v>
      </c>
    </row>
    <row r="32" customFormat="false" ht="27.75" hidden="false" customHeight="true" outlineLevel="0" collapsed="false">
      <c r="A32" s="6"/>
      <c r="B32" s="7"/>
      <c r="C32" s="7"/>
      <c r="D32" s="7"/>
      <c r="E32" s="6"/>
      <c r="F32" s="6" t="s">
        <v>39</v>
      </c>
    </row>
    <row r="33" customFormat="false" ht="27.75" hidden="false" customHeight="true" outlineLevel="0" collapsed="false">
      <c r="A33" s="6"/>
      <c r="B33" s="7"/>
      <c r="C33" s="7"/>
      <c r="D33" s="7"/>
      <c r="E33" s="6"/>
      <c r="F33" s="6" t="s">
        <v>52</v>
      </c>
    </row>
    <row r="34" customFormat="false" ht="27.75" hidden="false" customHeight="true" outlineLevel="0" collapsed="false">
      <c r="A34" s="6"/>
      <c r="B34" s="8"/>
      <c r="C34" s="8"/>
      <c r="D34" s="8"/>
      <c r="E34" s="6"/>
      <c r="F34" s="6" t="s">
        <v>39</v>
      </c>
    </row>
    <row r="35" customFormat="false" ht="15" hidden="false" customHeight="true" outlineLevel="0" collapsed="false">
      <c r="A35" s="6"/>
      <c r="B35" s="6"/>
      <c r="C35" s="6"/>
      <c r="D35" s="6"/>
      <c r="E35" s="6"/>
      <c r="F35" s="6" t="s">
        <v>39</v>
      </c>
    </row>
    <row r="36" customFormat="false" ht="41.25" hidden="false" customHeight="true" outlineLevel="0" collapsed="false">
      <c r="A36" s="6"/>
      <c r="B36" s="6"/>
      <c r="C36" s="6"/>
      <c r="D36" s="6"/>
      <c r="E36" s="6"/>
      <c r="F36" s="6" t="s">
        <v>291</v>
      </c>
    </row>
  </sheetData>
  <mergeCells count="3">
    <mergeCell ref="A1:F1"/>
    <mergeCell ref="A21:F21"/>
    <mergeCell ref="A27:F2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2"/>
    <col collapsed="false" customWidth="true" hidden="false" outlineLevel="0" max="2" min="2" style="1" width="18"/>
    <col collapsed="false" customWidth="true" hidden="false" outlineLevel="0" max="5" min="3" style="1" width="42"/>
    <col collapsed="false" customWidth="true" hidden="false" outlineLevel="0" max="6" min="6" style="1" width="48"/>
  </cols>
  <sheetData>
    <row r="1" customFormat="false" ht="15" hidden="false" customHeight="true" outlineLevel="0" collapsed="false">
      <c r="A1" s="25" t="s">
        <v>292</v>
      </c>
      <c r="B1" s="25"/>
      <c r="C1" s="25"/>
      <c r="D1" s="25"/>
      <c r="E1" s="25"/>
      <c r="F1" s="25"/>
      <c r="G1" s="3"/>
      <c r="H1" s="3"/>
      <c r="I1" s="3"/>
      <c r="J1" s="3"/>
      <c r="K1" s="3"/>
      <c r="L1" s="3"/>
      <c r="M1" s="3"/>
      <c r="N1" s="3"/>
      <c r="O1" s="3"/>
      <c r="P1" s="3"/>
      <c r="Q1" s="3"/>
      <c r="R1" s="3"/>
      <c r="S1" s="3"/>
      <c r="T1" s="3"/>
      <c r="U1" s="3"/>
      <c r="V1" s="3"/>
      <c r="W1" s="3"/>
      <c r="X1" s="3"/>
      <c r="Y1" s="3"/>
      <c r="Z1" s="3"/>
    </row>
    <row r="3" customFormat="false" ht="15" hidden="false" customHeight="true" outlineLevel="0" collapsed="false">
      <c r="A3" s="33" t="s">
        <v>293</v>
      </c>
      <c r="B3" s="33" t="s">
        <v>294</v>
      </c>
      <c r="C3" s="33" t="s">
        <v>295</v>
      </c>
      <c r="D3" s="33" t="s">
        <v>296</v>
      </c>
      <c r="E3" s="33" t="s">
        <v>297</v>
      </c>
      <c r="F3" s="33" t="s">
        <v>298</v>
      </c>
    </row>
    <row r="4" customFormat="false" ht="27.75" hidden="false" customHeight="true" outlineLevel="0" collapsed="false">
      <c r="A4" s="6" t="s">
        <v>299</v>
      </c>
      <c r="B4" s="6" t="s">
        <v>300</v>
      </c>
      <c r="C4" s="6" t="s">
        <v>301</v>
      </c>
      <c r="D4" s="6" t="s">
        <v>302</v>
      </c>
      <c r="E4" s="6" t="s">
        <v>303</v>
      </c>
      <c r="F4" s="6" t="s">
        <v>304</v>
      </c>
    </row>
    <row r="5" customFormat="false" ht="27.75" hidden="false" customHeight="true" outlineLevel="0" collapsed="false">
      <c r="A5" s="6" t="s">
        <v>305</v>
      </c>
      <c r="B5" s="6" t="s">
        <v>306</v>
      </c>
      <c r="C5" s="6" t="s">
        <v>307</v>
      </c>
      <c r="D5" s="6" t="s">
        <v>308</v>
      </c>
      <c r="E5" s="6" t="s">
        <v>309</v>
      </c>
      <c r="F5" s="6" t="s">
        <v>304</v>
      </c>
    </row>
    <row r="6" customFormat="false" ht="27.75" hidden="false" customHeight="true" outlineLevel="0" collapsed="false">
      <c r="A6" s="6" t="s">
        <v>310</v>
      </c>
      <c r="B6" s="6" t="s">
        <v>311</v>
      </c>
      <c r="C6" s="6" t="s">
        <v>312</v>
      </c>
      <c r="D6" s="6" t="s">
        <v>313</v>
      </c>
      <c r="E6" s="6" t="s">
        <v>314</v>
      </c>
      <c r="F6" s="6" t="s">
        <v>315</v>
      </c>
    </row>
    <row r="7" customFormat="false" ht="27.75" hidden="false" customHeight="true" outlineLevel="0" collapsed="false">
      <c r="A7" s="6" t="s">
        <v>316</v>
      </c>
      <c r="B7" s="6" t="s">
        <v>317</v>
      </c>
      <c r="C7" s="6" t="s">
        <v>318</v>
      </c>
      <c r="D7" s="6" t="s">
        <v>319</v>
      </c>
      <c r="E7" s="6" t="s">
        <v>320</v>
      </c>
      <c r="F7" s="6" t="s">
        <v>321</v>
      </c>
    </row>
    <row r="8" customFormat="false" ht="27.75" hidden="false" customHeight="true" outlineLevel="0" collapsed="false">
      <c r="A8" s="6" t="s">
        <v>322</v>
      </c>
      <c r="B8" s="6" t="s">
        <v>323</v>
      </c>
      <c r="C8" s="6" t="s">
        <v>324</v>
      </c>
      <c r="D8" s="6" t="s">
        <v>325</v>
      </c>
      <c r="E8" s="6" t="s">
        <v>326</v>
      </c>
      <c r="F8" s="6" t="s">
        <v>327</v>
      </c>
    </row>
    <row r="9" customFormat="false" ht="27.75" hidden="false" customHeight="true" outlineLevel="0" collapsed="false">
      <c r="A9" s="6" t="s">
        <v>328</v>
      </c>
      <c r="B9" s="6" t="s">
        <v>329</v>
      </c>
      <c r="C9" s="6" t="s">
        <v>330</v>
      </c>
      <c r="D9" s="6" t="s">
        <v>331</v>
      </c>
      <c r="E9" s="6" t="s">
        <v>332</v>
      </c>
      <c r="F9" s="6" t="s">
        <v>333</v>
      </c>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2"/>
    <col collapsed="false" customWidth="true" hidden="false" outlineLevel="0" max="2" min="2" style="1" width="38"/>
    <col collapsed="false" customWidth="true" hidden="false" outlineLevel="0" max="3" min="3" style="1" width="24"/>
    <col collapsed="false" customWidth="true" hidden="false" outlineLevel="0" max="4" min="4" style="1" width="38"/>
    <col collapsed="false" customWidth="true" hidden="false" outlineLevel="0" max="5" min="5" style="1" width="30"/>
    <col collapsed="false" customWidth="true" hidden="false" outlineLevel="0" max="7" min="6" style="1" width="20"/>
    <col collapsed="false" customWidth="true" hidden="false" outlineLevel="0" max="8" min="8" style="1" width="14"/>
  </cols>
  <sheetData>
    <row r="1" customFormat="false" ht="15" hidden="false" customHeight="true" outlineLevel="0" collapsed="false">
      <c r="A1" s="25" t="s">
        <v>334</v>
      </c>
      <c r="B1" s="25"/>
      <c r="C1" s="25"/>
      <c r="D1" s="25"/>
      <c r="E1" s="25"/>
      <c r="F1" s="25"/>
      <c r="G1" s="25"/>
      <c r="H1" s="25"/>
      <c r="I1" s="3"/>
      <c r="J1" s="3"/>
      <c r="K1" s="3"/>
      <c r="L1" s="3"/>
      <c r="M1" s="3"/>
      <c r="N1" s="3"/>
      <c r="O1" s="3"/>
      <c r="P1" s="3"/>
      <c r="Q1" s="3"/>
      <c r="R1" s="3"/>
      <c r="S1" s="3"/>
      <c r="T1" s="3"/>
      <c r="U1" s="3"/>
      <c r="V1" s="3"/>
      <c r="W1" s="3"/>
      <c r="X1" s="3"/>
      <c r="Y1" s="3"/>
      <c r="Z1" s="3"/>
    </row>
    <row r="3" customFormat="false" ht="15" hidden="false" customHeight="true" outlineLevel="0" collapsed="false">
      <c r="A3" s="33" t="s">
        <v>335</v>
      </c>
      <c r="B3" s="33" t="s">
        <v>336</v>
      </c>
      <c r="C3" s="33" t="s">
        <v>337</v>
      </c>
      <c r="D3" s="33" t="s">
        <v>338</v>
      </c>
      <c r="E3" s="33" t="s">
        <v>339</v>
      </c>
      <c r="F3" s="33" t="s">
        <v>340</v>
      </c>
      <c r="G3" s="33" t="s">
        <v>341</v>
      </c>
      <c r="H3" s="33" t="s">
        <v>36</v>
      </c>
    </row>
    <row r="4" customFormat="false" ht="27.75" hidden="false" customHeight="true" outlineLevel="0" collapsed="false">
      <c r="A4" s="6" t="s">
        <v>342</v>
      </c>
      <c r="B4" s="6" t="s">
        <v>343</v>
      </c>
      <c r="C4" s="6" t="s">
        <v>344</v>
      </c>
      <c r="D4" s="6" t="s">
        <v>345</v>
      </c>
      <c r="E4" s="6" t="s">
        <v>346</v>
      </c>
      <c r="F4" s="6" t="s">
        <v>347</v>
      </c>
      <c r="G4" s="6" t="s">
        <v>348</v>
      </c>
      <c r="H4" s="6" t="s">
        <v>349</v>
      </c>
    </row>
    <row r="5" customFormat="false" ht="27.75" hidden="false" customHeight="true" outlineLevel="0" collapsed="false">
      <c r="A5" s="6" t="s">
        <v>350</v>
      </c>
      <c r="B5" s="6" t="s">
        <v>351</v>
      </c>
      <c r="C5" s="6" t="s">
        <v>352</v>
      </c>
      <c r="D5" s="6" t="s">
        <v>353</v>
      </c>
      <c r="E5" s="6" t="s">
        <v>78</v>
      </c>
      <c r="F5" s="6" t="s">
        <v>354</v>
      </c>
      <c r="G5" s="6" t="s">
        <v>355</v>
      </c>
      <c r="H5" s="6" t="s">
        <v>356</v>
      </c>
    </row>
    <row r="6" customFormat="false" ht="27.75" hidden="false" customHeight="true" outlineLevel="0" collapsed="false">
      <c r="A6" s="6" t="s">
        <v>357</v>
      </c>
      <c r="B6" s="6" t="s">
        <v>358</v>
      </c>
      <c r="C6" s="6" t="s">
        <v>359</v>
      </c>
      <c r="D6" s="6" t="s">
        <v>360</v>
      </c>
      <c r="E6" s="6" t="s">
        <v>361</v>
      </c>
      <c r="F6" s="6" t="s">
        <v>362</v>
      </c>
      <c r="G6" s="6" t="s">
        <v>363</v>
      </c>
      <c r="H6" s="6" t="s">
        <v>364</v>
      </c>
    </row>
    <row r="7" customFormat="false" ht="27.75" hidden="false" customHeight="true" outlineLevel="0" collapsed="false">
      <c r="A7" s="6" t="s">
        <v>365</v>
      </c>
      <c r="B7" s="6" t="s">
        <v>366</v>
      </c>
      <c r="C7" s="6" t="s">
        <v>367</v>
      </c>
      <c r="D7" s="6" t="s">
        <v>368</v>
      </c>
      <c r="E7" s="6" t="s">
        <v>369</v>
      </c>
      <c r="F7" s="6" t="s">
        <v>370</v>
      </c>
      <c r="G7" s="6" t="s">
        <v>371</v>
      </c>
      <c r="H7" s="6" t="s">
        <v>364</v>
      </c>
    </row>
    <row r="8" customFormat="false" ht="27.75" hidden="false" customHeight="true" outlineLevel="0" collapsed="false">
      <c r="A8" s="6" t="s">
        <v>372</v>
      </c>
      <c r="B8" s="6" t="s">
        <v>373</v>
      </c>
      <c r="C8" s="6" t="s">
        <v>374</v>
      </c>
      <c r="D8" s="6" t="s">
        <v>375</v>
      </c>
      <c r="E8" s="6" t="s">
        <v>376</v>
      </c>
      <c r="F8" s="6" t="s">
        <v>377</v>
      </c>
      <c r="G8" s="6" t="s">
        <v>378</v>
      </c>
      <c r="H8" s="6" t="s">
        <v>364</v>
      </c>
    </row>
    <row r="9" customFormat="false" ht="27.75" hidden="false" customHeight="true" outlineLevel="0" collapsed="false">
      <c r="A9" s="6" t="s">
        <v>379</v>
      </c>
      <c r="B9" s="6" t="s">
        <v>380</v>
      </c>
      <c r="C9" s="6" t="s">
        <v>381</v>
      </c>
      <c r="D9" s="6" t="s">
        <v>382</v>
      </c>
      <c r="E9" s="6" t="s">
        <v>383</v>
      </c>
      <c r="F9" s="6" t="s">
        <v>384</v>
      </c>
      <c r="G9" s="6" t="s">
        <v>385</v>
      </c>
      <c r="H9" s="6" t="s">
        <v>364</v>
      </c>
    </row>
    <row r="10" customFormat="false" ht="27.75" hidden="false" customHeight="true" outlineLevel="0" collapsed="false">
      <c r="A10" s="6" t="s">
        <v>386</v>
      </c>
      <c r="B10" s="6" t="s">
        <v>387</v>
      </c>
      <c r="C10" s="6" t="s">
        <v>388</v>
      </c>
      <c r="D10" s="6" t="s">
        <v>389</v>
      </c>
      <c r="E10" s="6" t="s">
        <v>390</v>
      </c>
      <c r="F10" s="6" t="s">
        <v>391</v>
      </c>
      <c r="G10" s="6" t="s">
        <v>392</v>
      </c>
      <c r="H10" s="6" t="s">
        <v>364</v>
      </c>
    </row>
    <row r="11" customFormat="false" ht="27.75" hidden="false" customHeight="true" outlineLevel="0" collapsed="false">
      <c r="A11" s="6" t="s">
        <v>393</v>
      </c>
      <c r="B11" s="6" t="s">
        <v>394</v>
      </c>
      <c r="C11" s="6" t="s">
        <v>395</v>
      </c>
      <c r="D11" s="6" t="s">
        <v>396</v>
      </c>
      <c r="E11" s="6" t="s">
        <v>397</v>
      </c>
      <c r="F11" s="6" t="s">
        <v>347</v>
      </c>
      <c r="G11" s="6" t="s">
        <v>392</v>
      </c>
      <c r="H11" s="6" t="s">
        <v>364</v>
      </c>
    </row>
    <row r="12" customFormat="false" ht="27.75" hidden="false" customHeight="true" outlineLevel="0" collapsed="false">
      <c r="A12" s="6" t="s">
        <v>398</v>
      </c>
      <c r="B12" s="6" t="s">
        <v>399</v>
      </c>
      <c r="C12" s="6" t="s">
        <v>400</v>
      </c>
      <c r="D12" s="6" t="s">
        <v>401</v>
      </c>
      <c r="E12" s="6" t="s">
        <v>402</v>
      </c>
      <c r="F12" s="6" t="s">
        <v>403</v>
      </c>
      <c r="G12" s="6" t="s">
        <v>404</v>
      </c>
      <c r="H12" s="6" t="s">
        <v>364</v>
      </c>
    </row>
    <row r="13" customFormat="false" ht="27.75" hidden="false" customHeight="true" outlineLevel="0" collapsed="false">
      <c r="A13" s="6" t="s">
        <v>405</v>
      </c>
      <c r="B13" s="6" t="s">
        <v>406</v>
      </c>
      <c r="C13" s="6" t="s">
        <v>407</v>
      </c>
      <c r="D13" s="6" t="s">
        <v>408</v>
      </c>
      <c r="E13" s="6" t="s">
        <v>409</v>
      </c>
      <c r="F13" s="6" t="s">
        <v>410</v>
      </c>
      <c r="G13" s="6" t="s">
        <v>411</v>
      </c>
      <c r="H13" s="6" t="s">
        <v>364</v>
      </c>
    </row>
  </sheetData>
  <mergeCells count="1">
    <mergeCell ref="A1:H1"/>
  </mergeCells>
  <dataValidations count="1">
    <dataValidation allowBlank="false" errorStyle="stop" operator="between" showDropDown="false" showErrorMessage="false" showInputMessage="false" sqref="H4:H100" type="list">
      <formula1>"Open,In progress,Draft,Complete,Killed"</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28"/>
    <col collapsed="false" customWidth="true" hidden="false" outlineLevel="0" max="2" min="2" style="1" width="16"/>
    <col collapsed="false" customWidth="true" hidden="false" outlineLevel="0" max="3" min="3" style="1" width="44"/>
    <col collapsed="false" customWidth="true" hidden="false" outlineLevel="0" max="4" min="4" style="1" width="60"/>
    <col collapsed="false" customWidth="true" hidden="false" outlineLevel="0" max="5" min="5" style="1" width="38"/>
  </cols>
  <sheetData>
    <row r="1" customFormat="false" ht="15" hidden="false" customHeight="true" outlineLevel="0" collapsed="false">
      <c r="A1" s="25" t="s">
        <v>412</v>
      </c>
      <c r="B1" s="25"/>
      <c r="C1" s="25"/>
      <c r="D1" s="25"/>
      <c r="E1" s="25"/>
      <c r="F1" s="3"/>
      <c r="G1" s="3"/>
      <c r="H1" s="3"/>
      <c r="I1" s="3"/>
      <c r="J1" s="3"/>
      <c r="K1" s="3"/>
      <c r="L1" s="3"/>
      <c r="M1" s="3"/>
      <c r="N1" s="3"/>
      <c r="O1" s="3"/>
      <c r="P1" s="3"/>
      <c r="Q1" s="3"/>
      <c r="R1" s="3"/>
      <c r="S1" s="3"/>
      <c r="T1" s="3"/>
      <c r="U1" s="3"/>
      <c r="V1" s="3"/>
      <c r="W1" s="3"/>
      <c r="X1" s="3"/>
      <c r="Y1" s="3"/>
      <c r="Z1" s="3"/>
    </row>
    <row r="3" customFormat="false" ht="15" hidden="false" customHeight="true" outlineLevel="0" collapsed="false">
      <c r="A3" s="17" t="s">
        <v>35</v>
      </c>
      <c r="B3" s="17" t="s">
        <v>413</v>
      </c>
      <c r="C3" s="17" t="s">
        <v>414</v>
      </c>
      <c r="D3" s="17" t="s">
        <v>36</v>
      </c>
      <c r="E3" s="17" t="s">
        <v>9</v>
      </c>
    </row>
    <row r="4" customFormat="false" ht="81.75" hidden="false" customHeight="true" outlineLevel="0" collapsed="false">
      <c r="A4" s="6" t="s">
        <v>415</v>
      </c>
      <c r="B4" s="6" t="s">
        <v>416</v>
      </c>
      <c r="C4" s="6" t="s">
        <v>417</v>
      </c>
      <c r="D4" s="6" t="s">
        <v>418</v>
      </c>
      <c r="E4" s="6" t="s">
        <v>419</v>
      </c>
    </row>
    <row r="5" customFormat="false" ht="54.75" hidden="false" customHeight="true" outlineLevel="0" collapsed="false">
      <c r="A5" s="6" t="s">
        <v>420</v>
      </c>
      <c r="B5" s="6" t="s">
        <v>421</v>
      </c>
      <c r="C5" s="6" t="s">
        <v>422</v>
      </c>
      <c r="D5" s="6" t="s">
        <v>418</v>
      </c>
      <c r="E5" s="6" t="s">
        <v>423</v>
      </c>
    </row>
    <row r="6" customFormat="false" ht="15" hidden="false" customHeight="true" outlineLevel="0" collapsed="false">
      <c r="A6" s="6"/>
      <c r="B6" s="6"/>
      <c r="C6" s="6"/>
      <c r="D6" s="6"/>
      <c r="E6" s="6"/>
    </row>
    <row r="7" customFormat="false" ht="41.25" hidden="false" customHeight="true" outlineLevel="0" collapsed="false">
      <c r="A7" s="6" t="s">
        <v>424</v>
      </c>
      <c r="B7" s="6" t="s">
        <v>425</v>
      </c>
      <c r="C7" s="6" t="s">
        <v>426</v>
      </c>
      <c r="D7" s="6" t="s">
        <v>427</v>
      </c>
      <c r="E7" s="6" t="s">
        <v>428</v>
      </c>
    </row>
    <row r="8" customFormat="false" ht="41.25" hidden="false" customHeight="true" outlineLevel="0" collapsed="false">
      <c r="A8" s="6" t="s">
        <v>429</v>
      </c>
      <c r="B8" s="6" t="s">
        <v>430</v>
      </c>
      <c r="C8" s="6" t="s">
        <v>431</v>
      </c>
      <c r="D8" s="6" t="s">
        <v>427</v>
      </c>
      <c r="E8" s="6" t="s">
        <v>432</v>
      </c>
    </row>
    <row r="9" customFormat="false" ht="27.75" hidden="false" customHeight="true" outlineLevel="0" collapsed="false">
      <c r="A9" s="6" t="s">
        <v>433</v>
      </c>
      <c r="B9" s="6" t="s">
        <v>434</v>
      </c>
      <c r="C9" s="6" t="s">
        <v>435</v>
      </c>
      <c r="D9" s="6" t="s">
        <v>427</v>
      </c>
      <c r="E9" s="6" t="s">
        <v>436</v>
      </c>
    </row>
    <row r="10" customFormat="false" ht="27.75" hidden="false" customHeight="true" outlineLevel="0" collapsed="false">
      <c r="A10" s="6" t="s">
        <v>437</v>
      </c>
      <c r="B10" s="6" t="s">
        <v>438</v>
      </c>
      <c r="C10" s="6" t="s">
        <v>439</v>
      </c>
      <c r="D10" s="6" t="s">
        <v>427</v>
      </c>
      <c r="E10" s="6" t="s">
        <v>440</v>
      </c>
    </row>
    <row r="11" customFormat="false" ht="27.75" hidden="false" customHeight="true" outlineLevel="0" collapsed="false">
      <c r="A11" s="6" t="s">
        <v>441</v>
      </c>
      <c r="B11" s="6" t="s">
        <v>442</v>
      </c>
      <c r="C11" s="6" t="s">
        <v>443</v>
      </c>
      <c r="D11" s="6" t="s">
        <v>427</v>
      </c>
      <c r="E11" s="6" t="s">
        <v>444</v>
      </c>
    </row>
    <row r="12" customFormat="false" ht="15" hidden="false" customHeight="true" outlineLevel="0" collapsed="false">
      <c r="A12" s="6"/>
      <c r="B12" s="6"/>
      <c r="C12" s="6"/>
      <c r="D12" s="6"/>
      <c r="E12" s="6"/>
    </row>
    <row r="14" customFormat="false" ht="15" hidden="false" customHeight="true" outlineLevel="0" collapsed="false">
      <c r="A14" s="11" t="s">
        <v>445</v>
      </c>
      <c r="B14" s="11" t="s">
        <v>446</v>
      </c>
      <c r="C14" s="11" t="s">
        <v>447</v>
      </c>
      <c r="D14" s="11" t="s">
        <v>448</v>
      </c>
      <c r="E14" s="11" t="s">
        <v>9</v>
      </c>
    </row>
    <row r="15" customFormat="false" ht="27.75" hidden="false" customHeight="true" outlineLevel="0" collapsed="false">
      <c r="A15" s="6" t="s">
        <v>449</v>
      </c>
      <c r="B15" s="6" t="s">
        <v>450</v>
      </c>
      <c r="C15" s="6" t="s">
        <v>451</v>
      </c>
      <c r="D15" s="6" t="s">
        <v>417</v>
      </c>
      <c r="E15" s="6" t="s">
        <v>452</v>
      </c>
    </row>
    <row r="16" customFormat="false" ht="27.75" hidden="false" customHeight="true" outlineLevel="0" collapsed="false">
      <c r="A16" s="6" t="s">
        <v>453</v>
      </c>
      <c r="B16" s="6" t="s">
        <v>454</v>
      </c>
      <c r="C16" s="6" t="s">
        <v>455</v>
      </c>
      <c r="D16" s="6" t="s">
        <v>456</v>
      </c>
      <c r="E16" s="6" t="s">
        <v>457</v>
      </c>
    </row>
    <row r="17" customFormat="false" ht="27.75" hidden="false" customHeight="true" outlineLevel="0" collapsed="false">
      <c r="A17" s="6" t="s">
        <v>458</v>
      </c>
      <c r="B17" s="6" t="s">
        <v>454</v>
      </c>
      <c r="C17" s="6" t="s">
        <v>459</v>
      </c>
      <c r="D17" s="6" t="s">
        <v>456</v>
      </c>
      <c r="E17" s="6" t="s">
        <v>457</v>
      </c>
    </row>
    <row r="18" customFormat="false" ht="27.75" hidden="false" customHeight="true" outlineLevel="0" collapsed="false">
      <c r="A18" s="6" t="s">
        <v>460</v>
      </c>
      <c r="B18" s="6" t="s">
        <v>461</v>
      </c>
      <c r="C18" s="6" t="s">
        <v>462</v>
      </c>
      <c r="D18" s="6" t="s">
        <v>422</v>
      </c>
      <c r="E18" s="6" t="s">
        <v>463</v>
      </c>
    </row>
    <row r="19" customFormat="false" ht="15" hidden="false" customHeight="true" outlineLevel="0" collapsed="false">
      <c r="A19" s="6" t="s">
        <v>464</v>
      </c>
      <c r="B19" s="6" t="s">
        <v>465</v>
      </c>
      <c r="C19" s="6" t="s">
        <v>466</v>
      </c>
      <c r="D19" s="6" t="s">
        <v>467</v>
      </c>
      <c r="E19" s="6" t="s">
        <v>468</v>
      </c>
    </row>
  </sheetData>
  <mergeCells count="1">
    <mergeCell ref="A1:E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4"/>
    <col collapsed="false" customWidth="true" hidden="false" outlineLevel="0" max="2" min="2" style="1" width="26"/>
    <col collapsed="false" customWidth="true" hidden="false" outlineLevel="0" max="3" min="3" style="1" width="18"/>
    <col collapsed="false" customWidth="true" hidden="false" outlineLevel="0" max="4" min="4" style="1" width="20"/>
    <col collapsed="false" customWidth="true" hidden="false" outlineLevel="0" max="5" min="5" style="1" width="18"/>
    <col collapsed="false" customWidth="true" hidden="false" outlineLevel="0" max="6" min="6" style="1" width="58"/>
  </cols>
  <sheetData>
    <row r="1" customFormat="false" ht="17.25" hidden="false" customHeight="true" outlineLevel="0" collapsed="false">
      <c r="A1" s="36" t="s">
        <v>469</v>
      </c>
      <c r="B1" s="36"/>
      <c r="C1" s="36"/>
      <c r="D1" s="36"/>
      <c r="E1" s="36"/>
      <c r="F1" s="36"/>
    </row>
    <row r="3" customFormat="false" ht="15" hidden="false" customHeight="true" outlineLevel="0" collapsed="false">
      <c r="A3" s="33" t="s">
        <v>470</v>
      </c>
      <c r="B3" s="33" t="s">
        <v>340</v>
      </c>
      <c r="C3" s="33" t="s">
        <v>471</v>
      </c>
      <c r="D3" s="33" t="s">
        <v>472</v>
      </c>
      <c r="E3" s="33" t="s">
        <v>473</v>
      </c>
      <c r="F3" s="33" t="s">
        <v>9</v>
      </c>
    </row>
    <row r="4" customFormat="false" ht="27.75" hidden="false" customHeight="true" outlineLevel="0" collapsed="false">
      <c r="A4" s="6" t="s">
        <v>474</v>
      </c>
      <c r="B4" s="6" t="s">
        <v>475</v>
      </c>
      <c r="C4" s="7" t="n">
        <f aca="false">Budget_Compare!G16+Budget_Compare!G17</f>
        <v>532400</v>
      </c>
      <c r="D4" s="7" t="n">
        <f aca="false">(Quantities!B8*24)+(Quantities!B8*6)</f>
        <v>363000</v>
      </c>
      <c r="E4" s="7" t="n">
        <f aca="false">C4-D4</f>
        <v>169400</v>
      </c>
      <c r="F4" s="6" t="s">
        <v>476</v>
      </c>
    </row>
    <row r="5" customFormat="false" ht="15" hidden="false" customHeight="true" outlineLevel="0" collapsed="false">
      <c r="A5" s="6" t="s">
        <v>477</v>
      </c>
      <c r="B5" s="6" t="s">
        <v>478</v>
      </c>
      <c r="C5" s="7" t="n">
        <f aca="false">Budget_Compare!G18</f>
        <v>108900</v>
      </c>
      <c r="D5" s="7" t="n">
        <f aca="false">C5*0.35</f>
        <v>38115</v>
      </c>
      <c r="E5" s="7" t="n">
        <f aca="false">C5-D5</f>
        <v>70785</v>
      </c>
      <c r="F5" s="6" t="s">
        <v>479</v>
      </c>
    </row>
    <row r="6" customFormat="false" ht="27.75" hidden="false" customHeight="true" outlineLevel="0" collapsed="false">
      <c r="A6" s="6" t="s">
        <v>480</v>
      </c>
      <c r="B6" s="6" t="s">
        <v>481</v>
      </c>
      <c r="C6" s="7" t="n">
        <f aca="false">Budget_Compare!G19</f>
        <v>87120</v>
      </c>
      <c r="D6" s="7" t="n">
        <f aca="false">C6*0.25</f>
        <v>21780</v>
      </c>
      <c r="E6" s="7" t="n">
        <f aca="false">C6-D6</f>
        <v>65340</v>
      </c>
      <c r="F6" s="6" t="s">
        <v>482</v>
      </c>
    </row>
    <row r="7" customFormat="false" ht="27.75" hidden="false" customHeight="true" outlineLevel="0" collapsed="false">
      <c r="A7" s="6" t="s">
        <v>483</v>
      </c>
      <c r="B7" s="6" t="s">
        <v>484</v>
      </c>
      <c r="C7" s="7" t="n">
        <f aca="false">Budget_Compare!G29+Budget_Compare!G31</f>
        <v>75000</v>
      </c>
      <c r="D7" s="7" t="n">
        <v>25000</v>
      </c>
      <c r="E7" s="7" t="n">
        <f aca="false">C7-D7</f>
        <v>50000</v>
      </c>
      <c r="F7" s="6" t="s">
        <v>485</v>
      </c>
    </row>
    <row r="8" customFormat="false" ht="27.75" hidden="false" customHeight="true" outlineLevel="0" collapsed="false">
      <c r="A8" s="6" t="s">
        <v>486</v>
      </c>
      <c r="B8" s="6" t="s">
        <v>487</v>
      </c>
      <c r="C8" s="7" t="n">
        <f aca="false">Budget_Compare!G26+Budget_Compare!G27</f>
        <v>100000</v>
      </c>
      <c r="D8" s="7" t="n">
        <v>65000</v>
      </c>
      <c r="E8" s="7" t="n">
        <f aca="false">C8-D8</f>
        <v>35000</v>
      </c>
      <c r="F8" s="6" t="s">
        <v>488</v>
      </c>
    </row>
    <row r="9" customFormat="false" ht="27.75" hidden="false" customHeight="true" outlineLevel="0" collapsed="false">
      <c r="A9" s="6" t="s">
        <v>489</v>
      </c>
      <c r="B9" s="6" t="s">
        <v>245</v>
      </c>
      <c r="C9" s="7" t="n">
        <f aca="false">Budget_Compare!G28</f>
        <v>35000</v>
      </c>
      <c r="D9" s="7" t="n">
        <v>15000</v>
      </c>
      <c r="E9" s="7" t="n">
        <f aca="false">C9-D9</f>
        <v>20000</v>
      </c>
      <c r="F9" s="6" t="s">
        <v>490</v>
      </c>
    </row>
    <row r="10" customFormat="false" ht="27.75" hidden="false" customHeight="true" outlineLevel="0" collapsed="false">
      <c r="A10" s="6" t="s">
        <v>491</v>
      </c>
      <c r="B10" s="6" t="s">
        <v>492</v>
      </c>
      <c r="C10" s="7" t="n">
        <f aca="false">Budget_Compare!G5</f>
        <v>300000</v>
      </c>
      <c r="D10" s="7" t="n">
        <v>50000</v>
      </c>
      <c r="E10" s="7" t="n">
        <f aca="false">C10-D10</f>
        <v>250000</v>
      </c>
      <c r="F10" s="6" t="s">
        <v>493</v>
      </c>
    </row>
    <row r="11" customFormat="false" ht="15" hidden="false" customHeight="true" outlineLevel="0" collapsed="false">
      <c r="A11" s="6" t="s">
        <v>494</v>
      </c>
      <c r="B11" s="6" t="s">
        <v>259</v>
      </c>
      <c r="C11" s="7" t="n">
        <f aca="false">Budget_Compare!G37</f>
        <v>347290.98</v>
      </c>
      <c r="D11" s="7" t="n">
        <f aca="false">C11*0.7</f>
        <v>243103.686</v>
      </c>
      <c r="E11" s="7" t="n">
        <f aca="false">C11-D11</f>
        <v>104187.294</v>
      </c>
      <c r="F11" s="6" t="s">
        <v>495</v>
      </c>
    </row>
    <row r="12" customFormat="false" ht="15" hidden="false" customHeight="true" outlineLevel="0" collapsed="false">
      <c r="A12" s="6"/>
      <c r="B12" s="6"/>
      <c r="C12" s="7"/>
      <c r="D12" s="7"/>
      <c r="E12" s="7"/>
      <c r="F12" s="6"/>
    </row>
    <row r="13" customFormat="false" ht="15" hidden="false" customHeight="true" outlineLevel="0" collapsed="false">
      <c r="A13" s="31" t="s">
        <v>496</v>
      </c>
      <c r="B13" s="31"/>
      <c r="C13" s="32"/>
      <c r="D13" s="32"/>
      <c r="E13" s="32" t="n">
        <f aca="false">SUM(E4:E11)</f>
        <v>764712.294</v>
      </c>
      <c r="F13" s="31" t="s">
        <v>497</v>
      </c>
    </row>
    <row r="14" customFormat="false" ht="15" hidden="false" customHeight="true" outlineLevel="0" collapsed="false">
      <c r="A14" s="6"/>
      <c r="B14" s="6"/>
      <c r="C14" s="6"/>
      <c r="D14" s="6"/>
      <c r="E14" s="6"/>
      <c r="F14" s="6"/>
    </row>
    <row r="15" customFormat="false" ht="15" hidden="false" customHeight="true" outlineLevel="0" collapsed="false">
      <c r="A15" s="33" t="s">
        <v>498</v>
      </c>
      <c r="B15" s="33" t="s">
        <v>499</v>
      </c>
      <c r="C15" s="33" t="s">
        <v>500</v>
      </c>
      <c r="D15" s="33" t="s">
        <v>501</v>
      </c>
      <c r="E15" s="33" t="s">
        <v>502</v>
      </c>
      <c r="F15" s="33" t="s">
        <v>503</v>
      </c>
    </row>
    <row r="16" customFormat="false" ht="15" hidden="false" customHeight="true" outlineLevel="0" collapsed="false">
      <c r="A16" s="7" t="n">
        <f aca="false">Budget_Compare!G38</f>
        <v>2662564.18</v>
      </c>
      <c r="B16" s="7" t="n">
        <f aca="false">MAX(0,A16-E13)</f>
        <v>1897851.886</v>
      </c>
      <c r="C16" s="7" t="n">
        <f aca="false">Economics!C10</f>
        <v>450702</v>
      </c>
      <c r="D16" s="8" t="n">
        <f aca="false">C16/B16</f>
        <v>0.237480070665536</v>
      </c>
      <c r="E16" s="8" t="n">
        <f aca="false">Inputs!B15</f>
        <v>0.12</v>
      </c>
      <c r="F16" s="6" t="str">
        <f aca="false">IF(D16&gt;=E16,"YES","NO")</f>
        <v>YES</v>
      </c>
    </row>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2026-06-28T16:01:29Z</dcterms:created>
  <dc:creator>openpyxl</dc:creator>
  <dc:description/>
  <dc:language>en-US</dc:language>
  <cp:lastModifiedBy/>
  <dcterms:modified xsi:type="dcterms:W3CDTF">2026-06-30T16:26:13Z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